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ТСЖ Макаренко 10а\Отчёты\"/>
    </mc:Choice>
  </mc:AlternateContent>
  <bookViews>
    <workbookView xWindow="0" yWindow="0" windowWidth="28800" windowHeight="12585"/>
  </bookViews>
  <sheets>
    <sheet name="отчёт за 2020" sheetId="1" r:id="rId1"/>
    <sheet name="Лист1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N32" i="1" l="1"/>
  <c r="M32" i="1"/>
  <c r="H32" i="1"/>
  <c r="H17" i="1"/>
  <c r="G30" i="1"/>
  <c r="G25" i="1"/>
  <c r="G32" i="1"/>
  <c r="AH35" i="1"/>
  <c r="AH33" i="1"/>
  <c r="AE35" i="1"/>
  <c r="AB35" i="1"/>
  <c r="AB33" i="1"/>
  <c r="Y35" i="1"/>
  <c r="V35" i="1"/>
  <c r="S35" i="1"/>
  <c r="P35" i="1"/>
  <c r="M35" i="1"/>
  <c r="Y33" i="1"/>
  <c r="V33" i="1"/>
  <c r="S33" i="1"/>
  <c r="P33" i="1"/>
  <c r="M33" i="1"/>
  <c r="AL33" i="1"/>
  <c r="AI33" i="1"/>
  <c r="AF33" i="1"/>
  <c r="AC33" i="1"/>
  <c r="Z33" i="1"/>
  <c r="W33" i="1"/>
  <c r="T33" i="1"/>
  <c r="Q33" i="1"/>
  <c r="N33" i="1"/>
  <c r="M9" i="1" l="1"/>
  <c r="M34" i="1" l="1"/>
  <c r="AH36" i="1"/>
  <c r="E12" i="1"/>
  <c r="H12" i="1"/>
  <c r="K12" i="1"/>
  <c r="Q12" i="1"/>
  <c r="T12" i="1"/>
  <c r="W12" i="1"/>
  <c r="Z12" i="1"/>
  <c r="AC12" i="1"/>
  <c r="AF12" i="1"/>
  <c r="AL12" i="1"/>
  <c r="AI12" i="1"/>
  <c r="D12" i="1"/>
  <c r="M12" i="1"/>
  <c r="S12" i="1"/>
  <c r="V12" i="1"/>
  <c r="Y12" i="1"/>
  <c r="AB12" i="1"/>
  <c r="AE12" i="1"/>
  <c r="AK12" i="1"/>
  <c r="AH12" i="1"/>
  <c r="AH8" i="1"/>
  <c r="AI14" i="1"/>
  <c r="M36" i="1"/>
  <c r="Y36" i="1"/>
  <c r="C38" i="1"/>
  <c r="F38" i="1" s="1"/>
  <c r="I38" i="1" s="1"/>
  <c r="K38" i="1" s="1"/>
  <c r="AL37" i="1"/>
  <c r="AI37" i="1"/>
  <c r="C37" i="1"/>
  <c r="AN37" i="1" s="1"/>
  <c r="AF17" i="1"/>
  <c r="AE8" i="1"/>
  <c r="AF14" i="1"/>
  <c r="AE32" i="1"/>
  <c r="AE9" i="1"/>
  <c r="AF25" i="1"/>
  <c r="AP25" i="1" s="1"/>
  <c r="AE25" i="1"/>
  <c r="AF18" i="1"/>
  <c r="AB8" i="1"/>
  <c r="AC14" i="1"/>
  <c r="AB9" i="1"/>
  <c r="AC25" i="1"/>
  <c r="AB25" i="1"/>
  <c r="AK8" i="1"/>
  <c r="D8" i="1"/>
  <c r="G8" i="1"/>
  <c r="G12" i="1" s="1"/>
  <c r="M8" i="1"/>
  <c r="S8" i="1"/>
  <c r="V8" i="1"/>
  <c r="Y8" i="1"/>
  <c r="Y22" i="1"/>
  <c r="Z14" i="1"/>
  <c r="Y32" i="1"/>
  <c r="Y9" i="1"/>
  <c r="W14" i="1"/>
  <c r="W32" i="1"/>
  <c r="V32" i="1"/>
  <c r="T14" i="1"/>
  <c r="V28" i="1"/>
  <c r="AO25" i="1"/>
  <c r="AN25" i="1"/>
  <c r="AD25" i="1"/>
  <c r="AA25" i="1"/>
  <c r="X25" i="1"/>
  <c r="U25" i="1"/>
  <c r="R25" i="1"/>
  <c r="O25" i="1"/>
  <c r="AP20" i="1"/>
  <c r="AL20" i="1"/>
  <c r="AK20" i="1"/>
  <c r="AI20" i="1"/>
  <c r="AH20" i="1"/>
  <c r="AF20" i="1"/>
  <c r="AE20" i="1"/>
  <c r="AC20" i="1"/>
  <c r="AB20" i="1"/>
  <c r="Z20" i="1"/>
  <c r="Y20" i="1"/>
  <c r="W20" i="1"/>
  <c r="V20" i="1"/>
  <c r="T20" i="1"/>
  <c r="S20" i="1"/>
  <c r="N20" i="1"/>
  <c r="M20" i="1"/>
  <c r="K20" i="1"/>
  <c r="J20" i="1"/>
  <c r="J8" i="1" s="1"/>
  <c r="J12" i="1" s="1"/>
  <c r="H20" i="1"/>
  <c r="G20" i="1"/>
  <c r="E20" i="1"/>
  <c r="D20" i="1"/>
  <c r="Q20" i="1"/>
  <c r="P20" i="1"/>
  <c r="P8" i="1" s="1"/>
  <c r="P12" i="1" s="1"/>
  <c r="Q14" i="1"/>
  <c r="Q19" i="1"/>
  <c r="Q17" i="1"/>
  <c r="Q18" i="1"/>
  <c r="N14" i="1"/>
  <c r="M28" i="1"/>
  <c r="N17" i="1"/>
  <c r="K14" i="1"/>
  <c r="E14" i="1"/>
  <c r="V29" i="1"/>
  <c r="S29" i="1"/>
  <c r="P29" i="1"/>
  <c r="M29" i="1"/>
  <c r="J29" i="1"/>
  <c r="G29" i="1"/>
  <c r="F37" i="1" l="1"/>
  <c r="I37" i="1" s="1"/>
  <c r="K37" i="1" s="1"/>
  <c r="M37" i="1" s="1"/>
  <c r="M38" i="1"/>
  <c r="AP38" i="1"/>
  <c r="AO37" i="1"/>
  <c r="O37" i="1"/>
  <c r="R37" i="1" s="1"/>
  <c r="U37" i="1" s="1"/>
  <c r="X37" i="1" s="1"/>
  <c r="AA37" i="1" s="1"/>
  <c r="AD37" i="1" s="1"/>
  <c r="AG37" i="1" s="1"/>
  <c r="AJ37" i="1" s="1"/>
  <c r="AM37" i="1" s="1"/>
  <c r="AP37" i="1"/>
  <c r="AN38" i="1"/>
  <c r="AQ25" i="1"/>
  <c r="AG25" i="1"/>
  <c r="AJ25" i="1" s="1"/>
  <c r="AM25" i="1" s="1"/>
  <c r="AO20" i="1"/>
  <c r="D9" i="1"/>
  <c r="AQ37" i="1" l="1"/>
  <c r="N12" i="1"/>
  <c r="AO38" i="1"/>
  <c r="AQ38" i="1" s="1"/>
  <c r="O38" i="1"/>
  <c r="R38" i="1" s="1"/>
  <c r="U38" i="1" s="1"/>
  <c r="X38" i="1" s="1"/>
  <c r="AA38" i="1" s="1"/>
  <c r="AD38" i="1" s="1"/>
  <c r="AG38" i="1" s="1"/>
  <c r="AJ38" i="1" s="1"/>
  <c r="AM38" i="1" s="1"/>
  <c r="H18" i="1"/>
  <c r="H14" i="1"/>
  <c r="K33" i="1"/>
  <c r="G27" i="1"/>
  <c r="G33" i="1"/>
  <c r="G35" i="1"/>
  <c r="J33" i="1"/>
  <c r="B11" i="1"/>
  <c r="D33" i="1"/>
  <c r="H33" i="1"/>
  <c r="M27" i="1"/>
  <c r="P27" i="1"/>
  <c r="J27" i="1"/>
  <c r="H30" i="1"/>
  <c r="E30" i="1"/>
  <c r="D29" i="1"/>
  <c r="C33" i="1"/>
  <c r="J35" i="1"/>
  <c r="H35" i="1"/>
  <c r="D35" i="1"/>
  <c r="B12" i="1"/>
  <c r="B9" i="1" s="1"/>
  <c r="C36" i="1"/>
  <c r="C35" i="1"/>
  <c r="C34" i="1"/>
  <c r="E33" i="1" s="1"/>
  <c r="C32" i="1"/>
  <c r="C31" i="1"/>
  <c r="C30" i="1"/>
  <c r="C29" i="1"/>
  <c r="C28" i="1"/>
  <c r="C27" i="1"/>
  <c r="C24" i="1"/>
  <c r="C23" i="1"/>
  <c r="C22" i="1"/>
  <c r="C21" i="1"/>
  <c r="C12" i="1"/>
  <c r="C11" i="1"/>
  <c r="F36" i="1" l="1"/>
  <c r="I36" i="1" s="1"/>
  <c r="L36" i="1" s="1"/>
  <c r="O36" i="1" s="1"/>
  <c r="R36" i="1" s="1"/>
  <c r="U36" i="1" s="1"/>
  <c r="X36" i="1" s="1"/>
  <c r="AA36" i="1" s="1"/>
  <c r="AD36" i="1" s="1"/>
  <c r="AG36" i="1" s="1"/>
  <c r="AJ36" i="1" s="1"/>
  <c r="AM36" i="1" s="1"/>
  <c r="E35" i="1"/>
  <c r="C20" i="1"/>
  <c r="AN20" i="1" l="1"/>
  <c r="F20" i="1"/>
  <c r="I20" i="1" s="1"/>
  <c r="L20" i="1" s="1"/>
  <c r="O20" i="1" s="1"/>
  <c r="R20" i="1" s="1"/>
  <c r="U20" i="1" s="1"/>
  <c r="X20" i="1" s="1"/>
  <c r="AA20" i="1" s="1"/>
  <c r="AD20" i="1" s="1"/>
  <c r="AG20" i="1" s="1"/>
  <c r="AJ20" i="1" s="1"/>
  <c r="AM20" i="1" s="1"/>
  <c r="C9" i="1"/>
  <c r="C8" i="1" l="1"/>
  <c r="AN33" i="1" l="1"/>
  <c r="AP19" i="1"/>
  <c r="AO19" i="1"/>
  <c r="AN19" i="1"/>
  <c r="AP18" i="1"/>
  <c r="AO18" i="1"/>
  <c r="AN18" i="1"/>
  <c r="AP17" i="1"/>
  <c r="AO17" i="1"/>
  <c r="AN17" i="1"/>
  <c r="AP16" i="1"/>
  <c r="AO16" i="1"/>
  <c r="AN16" i="1"/>
  <c r="AP15" i="1"/>
  <c r="AO15" i="1"/>
  <c r="AN15" i="1"/>
  <c r="AP14" i="1"/>
  <c r="AO14" i="1"/>
  <c r="AN14" i="1"/>
  <c r="AQ17" i="1" l="1"/>
  <c r="AQ15" i="1"/>
  <c r="AQ19" i="1"/>
  <c r="AQ16" i="1"/>
  <c r="AQ14" i="1"/>
  <c r="AQ18" i="1"/>
  <c r="AP36" i="1"/>
  <c r="AP34" i="1"/>
  <c r="AO32" i="1"/>
  <c r="AP27" i="1"/>
  <c r="AP24" i="1"/>
  <c r="AO24" i="1"/>
  <c r="AP23" i="1"/>
  <c r="AO23" i="1"/>
  <c r="AP22" i="1"/>
  <c r="AO22" i="1"/>
  <c r="AP21" i="1"/>
  <c r="AO21" i="1"/>
  <c r="N35" i="1" l="1"/>
  <c r="AL31" i="1"/>
  <c r="AI31" i="1"/>
  <c r="AF31" i="1"/>
  <c r="AC31" i="1"/>
  <c r="Z31" i="1"/>
  <c r="W31" i="1"/>
  <c r="T31" i="1"/>
  <c r="N31" i="1"/>
  <c r="K31" i="1"/>
  <c r="H31" i="1"/>
  <c r="Y29" i="1"/>
  <c r="AB29" i="1"/>
  <c r="AE29" i="1"/>
  <c r="AH29" i="1"/>
  <c r="AK29" i="1"/>
  <c r="AP35" i="1"/>
  <c r="K35" i="1"/>
  <c r="Q35" i="1"/>
  <c r="T35" i="1"/>
  <c r="W35" i="1"/>
  <c r="Z35" i="1"/>
  <c r="AC35" i="1"/>
  <c r="AF35" i="1"/>
  <c r="AI35" i="1"/>
  <c r="AL35" i="1"/>
  <c r="AP32" i="1"/>
  <c r="AP33" i="1" l="1"/>
  <c r="Q31" i="1"/>
  <c r="AO35" i="1"/>
  <c r="AO29" i="1"/>
  <c r="AP31" i="1"/>
  <c r="AL26" i="1"/>
  <c r="AK27" i="1"/>
  <c r="AO11" i="1"/>
  <c r="W28" i="1"/>
  <c r="AP28" i="1" s="1"/>
  <c r="AO30" i="1"/>
  <c r="AO28" i="1"/>
  <c r="AH27" i="1"/>
  <c r="AE27" i="1"/>
  <c r="AB27" i="1"/>
  <c r="Y27" i="1"/>
  <c r="AK26" i="1" l="1"/>
  <c r="AH26" i="1"/>
  <c r="AE26" i="1"/>
  <c r="AB26" i="1"/>
  <c r="Y26" i="1"/>
  <c r="AI26" i="1"/>
  <c r="AF26" i="1"/>
  <c r="AC26" i="1"/>
  <c r="Z26" i="1"/>
  <c r="V27" i="1" l="1"/>
  <c r="S27" i="1"/>
  <c r="D27" i="1"/>
  <c r="AO31" i="1"/>
  <c r="AO34" i="1"/>
  <c r="AO33" i="1" l="1"/>
  <c r="AO36" i="1"/>
  <c r="AP30" i="1"/>
  <c r="AP29" i="1"/>
  <c r="AO27" i="1"/>
  <c r="K8" i="1" l="1"/>
  <c r="H8" i="1"/>
  <c r="E8" i="1"/>
  <c r="AI8" i="1"/>
  <c r="AC8" i="1"/>
  <c r="Z8" i="1"/>
  <c r="AL8" i="1"/>
  <c r="AF8" i="1"/>
  <c r="T8" i="1"/>
  <c r="W8" i="1"/>
  <c r="N8" i="1"/>
  <c r="Q8" i="1"/>
  <c r="AN36" i="1"/>
  <c r="AQ36" i="1" s="1"/>
  <c r="AN35" i="1"/>
  <c r="AQ35" i="1" s="1"/>
  <c r="AN9" i="1"/>
  <c r="AN8" i="1"/>
  <c r="AP12" i="1" l="1"/>
  <c r="AO9" i="1"/>
  <c r="AP8" i="1"/>
  <c r="F27" i="1"/>
  <c r="I27" i="1" s="1"/>
  <c r="L27" i="1" s="1"/>
  <c r="O27" i="1" s="1"/>
  <c r="R27" i="1" s="1"/>
  <c r="U27" i="1" s="1"/>
  <c r="X27" i="1" s="1"/>
  <c r="AA27" i="1" s="1"/>
  <c r="AD27" i="1" s="1"/>
  <c r="AG27" i="1" s="1"/>
  <c r="AJ27" i="1" s="1"/>
  <c r="AM27" i="1" s="1"/>
  <c r="AN27" i="1"/>
  <c r="AQ27" i="1" s="1"/>
  <c r="F22" i="1"/>
  <c r="I22" i="1" s="1"/>
  <c r="AN22" i="1"/>
  <c r="AQ22" i="1" s="1"/>
  <c r="F11" i="1"/>
  <c r="AN11" i="1"/>
  <c r="F23" i="1"/>
  <c r="I23" i="1" s="1"/>
  <c r="AN23" i="1"/>
  <c r="AQ23" i="1" s="1"/>
  <c r="F29" i="1"/>
  <c r="AN29" i="1"/>
  <c r="AQ29" i="1" s="1"/>
  <c r="F33" i="1"/>
  <c r="I33" i="1" s="1"/>
  <c r="L33" i="1" s="1"/>
  <c r="O33" i="1" s="1"/>
  <c r="R33" i="1" s="1"/>
  <c r="U33" i="1" s="1"/>
  <c r="AQ33" i="1"/>
  <c r="F24" i="1"/>
  <c r="I24" i="1" s="1"/>
  <c r="AN24" i="1"/>
  <c r="AQ24" i="1" s="1"/>
  <c r="F30" i="1"/>
  <c r="I30" i="1" s="1"/>
  <c r="L30" i="1" s="1"/>
  <c r="O30" i="1" s="1"/>
  <c r="R30" i="1" s="1"/>
  <c r="U30" i="1" s="1"/>
  <c r="X30" i="1" s="1"/>
  <c r="AA30" i="1" s="1"/>
  <c r="AD30" i="1" s="1"/>
  <c r="AG30" i="1" s="1"/>
  <c r="AJ30" i="1" s="1"/>
  <c r="AM30" i="1" s="1"/>
  <c r="AN30" i="1"/>
  <c r="AQ30" i="1" s="1"/>
  <c r="F34" i="1"/>
  <c r="I34" i="1" s="1"/>
  <c r="L34" i="1" s="1"/>
  <c r="O34" i="1" s="1"/>
  <c r="R34" i="1" s="1"/>
  <c r="U34" i="1" s="1"/>
  <c r="X34" i="1" s="1"/>
  <c r="AA34" i="1" s="1"/>
  <c r="AD34" i="1" s="1"/>
  <c r="AG34" i="1" s="1"/>
  <c r="AJ34" i="1" s="1"/>
  <c r="AM34" i="1" s="1"/>
  <c r="AN34" i="1"/>
  <c r="AQ34" i="1" s="1"/>
  <c r="F21" i="1"/>
  <c r="I21" i="1" s="1"/>
  <c r="AN21" i="1"/>
  <c r="AQ21" i="1" s="1"/>
  <c r="F31" i="1"/>
  <c r="I31" i="1" s="1"/>
  <c r="L31" i="1" s="1"/>
  <c r="O31" i="1" s="1"/>
  <c r="R31" i="1" s="1"/>
  <c r="U31" i="1" s="1"/>
  <c r="X31" i="1" s="1"/>
  <c r="AA31" i="1" s="1"/>
  <c r="AD31" i="1" s="1"/>
  <c r="AG31" i="1" s="1"/>
  <c r="AJ31" i="1" s="1"/>
  <c r="AM31" i="1" s="1"/>
  <c r="AN31" i="1"/>
  <c r="AQ31" i="1" s="1"/>
  <c r="F28" i="1"/>
  <c r="I28" i="1" s="1"/>
  <c r="L28" i="1" s="1"/>
  <c r="O28" i="1" s="1"/>
  <c r="R28" i="1" s="1"/>
  <c r="U28" i="1" s="1"/>
  <c r="X28" i="1" s="1"/>
  <c r="AA28" i="1" s="1"/>
  <c r="AD28" i="1" s="1"/>
  <c r="AG28" i="1" s="1"/>
  <c r="AJ28" i="1" s="1"/>
  <c r="AM28" i="1" s="1"/>
  <c r="AN28" i="1"/>
  <c r="AQ28" i="1" s="1"/>
  <c r="F32" i="1"/>
  <c r="I32" i="1" s="1"/>
  <c r="L32" i="1" s="1"/>
  <c r="O32" i="1" s="1"/>
  <c r="R32" i="1" s="1"/>
  <c r="U32" i="1" s="1"/>
  <c r="X32" i="1" s="1"/>
  <c r="AA32" i="1" s="1"/>
  <c r="AD32" i="1" s="1"/>
  <c r="AG32" i="1" s="1"/>
  <c r="AJ32" i="1" s="1"/>
  <c r="AM32" i="1" s="1"/>
  <c r="AN32" i="1"/>
  <c r="AQ32" i="1" s="1"/>
  <c r="C26" i="1"/>
  <c r="AN26" i="1" s="1"/>
  <c r="I29" i="1" l="1"/>
  <c r="L29" i="1" s="1"/>
  <c r="O29" i="1" s="1"/>
  <c r="R29" i="1" s="1"/>
  <c r="U29" i="1" s="1"/>
  <c r="X29" i="1" s="1"/>
  <c r="AA29" i="1" s="1"/>
  <c r="AD29" i="1" s="1"/>
  <c r="AG29" i="1" s="1"/>
  <c r="X33" i="1"/>
  <c r="AA33" i="1" s="1"/>
  <c r="AD33" i="1" s="1"/>
  <c r="AG33" i="1" s="1"/>
  <c r="AJ33" i="1" s="1"/>
  <c r="AM33" i="1" s="1"/>
  <c r="L22" i="1"/>
  <c r="AJ29" i="1" l="1"/>
  <c r="AM29" i="1" s="1"/>
  <c r="O22" i="1"/>
  <c r="R22" i="1" s="1"/>
  <c r="U22" i="1" s="1"/>
  <c r="X22" i="1" s="1"/>
  <c r="AA22" i="1" s="1"/>
  <c r="AD22" i="1" s="1"/>
  <c r="AG22" i="1" s="1"/>
  <c r="AJ22" i="1" s="1"/>
  <c r="AM22" i="1" s="1"/>
  <c r="AO12" i="1" l="1"/>
  <c r="AQ20" i="1"/>
  <c r="AO8" i="1" l="1"/>
  <c r="AQ8" i="1" s="1"/>
  <c r="L24" i="1"/>
  <c r="L21" i="1"/>
  <c r="L23" i="1"/>
  <c r="O23" i="1" l="1"/>
  <c r="R23" i="1" s="1"/>
  <c r="U23" i="1" s="1"/>
  <c r="X23" i="1" s="1"/>
  <c r="AA23" i="1" s="1"/>
  <c r="AD23" i="1" s="1"/>
  <c r="AG23" i="1" s="1"/>
  <c r="AJ23" i="1" s="1"/>
  <c r="AM23" i="1" s="1"/>
  <c r="O21" i="1"/>
  <c r="R21" i="1" s="1"/>
  <c r="U21" i="1" s="1"/>
  <c r="X21" i="1" s="1"/>
  <c r="AA21" i="1" s="1"/>
  <c r="AD21" i="1" s="1"/>
  <c r="AG21" i="1" s="1"/>
  <c r="AJ21" i="1" s="1"/>
  <c r="AM21" i="1" s="1"/>
  <c r="O24" i="1"/>
  <c r="R24" i="1" s="1"/>
  <c r="U24" i="1" s="1"/>
  <c r="X24" i="1" s="1"/>
  <c r="AA24" i="1" s="1"/>
  <c r="AD24" i="1" s="1"/>
  <c r="AG24" i="1" s="1"/>
  <c r="AJ24" i="1" s="1"/>
  <c r="AM24" i="1" s="1"/>
  <c r="AP11" i="1"/>
  <c r="AQ11" i="1" s="1"/>
  <c r="F9" i="1" l="1"/>
  <c r="I9" i="1" s="1"/>
  <c r="L9" i="1" s="1"/>
  <c r="AP9" i="1"/>
  <c r="AQ9" i="1" s="1"/>
  <c r="AQ10" i="1" s="1"/>
  <c r="O9" i="1" l="1"/>
  <c r="R9" i="1" s="1"/>
  <c r="U9" i="1" s="1"/>
  <c r="T26" i="1"/>
  <c r="X9" i="1" l="1"/>
  <c r="AA9" i="1" s="1"/>
  <c r="AD9" i="1" s="1"/>
  <c r="AG9" i="1" s="1"/>
  <c r="AJ9" i="1" s="1"/>
  <c r="AM9" i="1" s="1"/>
  <c r="S26" i="1"/>
  <c r="V26" i="1"/>
  <c r="P26" i="1"/>
  <c r="W26" i="1"/>
  <c r="D26" i="1"/>
  <c r="J26" i="1" l="1"/>
  <c r="G26" i="1"/>
  <c r="M26" i="1" l="1"/>
  <c r="AO26" i="1" s="1"/>
  <c r="K26" i="1" l="1"/>
  <c r="H26" i="1"/>
  <c r="I11" i="1" l="1"/>
  <c r="L11" i="1" s="1"/>
  <c r="O11" i="1" l="1"/>
  <c r="R11" i="1" s="1"/>
  <c r="U11" i="1" s="1"/>
  <c r="X11" i="1" s="1"/>
  <c r="AA11" i="1" s="1"/>
  <c r="AD11" i="1" s="1"/>
  <c r="AG11" i="1" s="1"/>
  <c r="AJ11" i="1" s="1"/>
  <c r="AM11" i="1" s="1"/>
  <c r="AN10" i="1" s="1"/>
  <c r="F8" i="1" l="1"/>
  <c r="I8" i="1" s="1"/>
  <c r="L8" i="1" s="1"/>
  <c r="F35" i="1"/>
  <c r="I35" i="1" s="1"/>
  <c r="F12" i="1" l="1"/>
  <c r="I12" i="1" s="1"/>
  <c r="L12" i="1" s="1"/>
  <c r="O12" i="1" s="1"/>
  <c r="R12" i="1" s="1"/>
  <c r="U12" i="1" s="1"/>
  <c r="X12" i="1" s="1"/>
  <c r="AA12" i="1" s="1"/>
  <c r="AD12" i="1" s="1"/>
  <c r="AG12" i="1" s="1"/>
  <c r="AJ12" i="1" s="1"/>
  <c r="AM12" i="1" s="1"/>
  <c r="AN12" i="1"/>
  <c r="AQ12" i="1" s="1"/>
  <c r="L35" i="1"/>
  <c r="I26" i="1"/>
  <c r="E26" i="1"/>
  <c r="F26" i="1"/>
  <c r="N26" i="1" l="1"/>
  <c r="O8" i="1"/>
  <c r="O35" i="1"/>
  <c r="L26" i="1"/>
  <c r="O26" i="1" l="1"/>
  <c r="R8" i="1"/>
  <c r="U8" i="1" s="1"/>
  <c r="R35" i="1"/>
  <c r="U35" i="1" s="1"/>
  <c r="Q26" i="1"/>
  <c r="AP26" i="1" s="1"/>
  <c r="AQ26" i="1" s="1"/>
  <c r="X8" i="1" l="1"/>
  <c r="AA8" i="1" s="1"/>
  <c r="AD8" i="1" s="1"/>
  <c r="AG8" i="1" s="1"/>
  <c r="AJ8" i="1" s="1"/>
  <c r="AM8" i="1" s="1"/>
  <c r="X35" i="1"/>
  <c r="X26" i="1" l="1"/>
  <c r="AA35" i="1"/>
  <c r="R26" i="1"/>
  <c r="U26" i="1"/>
  <c r="AD35" i="1" l="1"/>
  <c r="AA26" i="1"/>
  <c r="AD26" i="1" l="1"/>
  <c r="AG35" i="1"/>
  <c r="AG26" i="1" l="1"/>
  <c r="AJ35" i="1"/>
  <c r="AJ26" i="1" l="1"/>
  <c r="AM35" i="1"/>
  <c r="AM26" i="1" s="1"/>
</calcChain>
</file>

<file path=xl/comments1.xml><?xml version="1.0" encoding="utf-8"?>
<comments xmlns="http://schemas.openxmlformats.org/spreadsheetml/2006/main">
  <authors>
    <author>Danton</author>
  </authors>
  <commentList>
    <comment ref="D11" authorId="0" shapeId="0">
      <text>
        <r>
          <rPr>
            <b/>
            <sz val="8"/>
            <color indexed="81"/>
            <rFont val="Tahoma"/>
            <family val="2"/>
            <charset val="204"/>
          </rPr>
          <t>Danton:</t>
        </r>
        <r>
          <rPr>
            <sz val="8"/>
            <color indexed="81"/>
            <rFont val="Tahoma"/>
            <family val="2"/>
            <charset val="204"/>
          </rPr>
          <t xml:space="preserve">
Ремонт горячей воды+погашение долга</t>
        </r>
      </text>
    </comment>
  </commentList>
</comments>
</file>

<file path=xl/sharedStrings.xml><?xml version="1.0" encoding="utf-8"?>
<sst xmlns="http://schemas.openxmlformats.org/spreadsheetml/2006/main" count="181" uniqueCount="96">
  <si>
    <t>ДОХОД</t>
  </si>
  <si>
    <t>РАСХОД</t>
  </si>
  <si>
    <t>ОСТАТОК</t>
  </si>
  <si>
    <t>бухгалтер</t>
  </si>
  <si>
    <t>председатель ТСЖ</t>
  </si>
  <si>
    <t>Налоги</t>
  </si>
  <si>
    <t>ФСС</t>
  </si>
  <si>
    <t>Судебное</t>
  </si>
  <si>
    <t>Дополнительные сборы</t>
  </si>
  <si>
    <t>Период отчета:</t>
  </si>
  <si>
    <t>Адрес дома:</t>
  </si>
  <si>
    <t>Хозяйственно-финансовый отчёт об управлении многоквартирным домом</t>
  </si>
  <si>
    <t>г. Пермь, ул. Макаренко 10а</t>
  </si>
  <si>
    <t>Общая площадь многоквартирного дома, кв.м.</t>
  </si>
  <si>
    <t>Теплоухов А.Н.</t>
  </si>
  <si>
    <t>Алексеева А.В.</t>
  </si>
  <si>
    <t>Петрофанов А.А.</t>
  </si>
  <si>
    <t>Управляющая организация</t>
  </si>
  <si>
    <t>ТСЖ "Макаренко 10А"</t>
  </si>
  <si>
    <t>Из них:</t>
  </si>
  <si>
    <t>комиссионный сбор банка за прием платежей ЖКУ</t>
  </si>
  <si>
    <t>ИТОГО собрано/перечислено</t>
  </si>
  <si>
    <t>ФАКТ</t>
  </si>
  <si>
    <t>ПЛАН</t>
  </si>
  <si>
    <t>РАЗНИЦА</t>
  </si>
  <si>
    <t>ОДН Эл/эн ПЭК оплачено/начислено</t>
  </si>
  <si>
    <t>Лифт-Боард</t>
  </si>
  <si>
    <t>Лифт-Медиа</t>
  </si>
  <si>
    <t>МТС</t>
  </si>
  <si>
    <t>Дом.ру</t>
  </si>
  <si>
    <t>Оплата услуг УК факт/план итого</t>
  </si>
  <si>
    <t>Консьержи собственникам факт/план</t>
  </si>
  <si>
    <t>ОДН Эл/эн собственникам факт/план</t>
  </si>
  <si>
    <t>ОДН вода собственникам факт/план</t>
  </si>
  <si>
    <t>Собрано за ЖКУ факт/план</t>
  </si>
  <si>
    <t>затраты УК на текущий ремонт получено/затрачено (справочно)</t>
  </si>
  <si>
    <t>Аренда итого (факт/план):</t>
  </si>
  <si>
    <t>Консьержи оплачено/начислено</t>
  </si>
  <si>
    <t>ОДН вода Новогор оплачено/начислено</t>
  </si>
  <si>
    <t>Входящий остаток</t>
  </si>
  <si>
    <t>Доход</t>
  </si>
  <si>
    <t>Расход</t>
  </si>
  <si>
    <t>Исходящий остаток</t>
  </si>
  <si>
    <t>Тревожная кнопка собственникам факт/план</t>
  </si>
  <si>
    <t>Тревожная кнопка оплачено/начислено</t>
  </si>
  <si>
    <t>Остаток на счёте в начале периода</t>
  </si>
  <si>
    <t>Получено от собственников за ЖКУ</t>
  </si>
  <si>
    <t>Остаток на счёте в конце периода</t>
  </si>
  <si>
    <t>Всего получено денежных средств на оба счёта</t>
  </si>
  <si>
    <t>Всего списано денежных средств с обоих счетов</t>
  </si>
  <si>
    <t>Фактически оплачено ООО "УК "Городские горки" за ЖКУ</t>
  </si>
  <si>
    <t>Необходимо было оплатить ООО "УК "Городские горки" за ЖКУ согласно договора</t>
  </si>
  <si>
    <t>Задолженность ТСЖ перед ООО "УК "Городские горки" на конец периода</t>
  </si>
  <si>
    <t>Задолженность собственников перед ТСЖ на начало периода</t>
  </si>
  <si>
    <t>Задолженность собственников перед ТСЖ на конец периода</t>
  </si>
  <si>
    <t>Планировалось собрать с собственников за ЖКУ по тарифам дополнительным сборам</t>
  </si>
  <si>
    <t>Задолженность перед ООО "УК "Городские горки" за ЖКУ на начало периода</t>
  </si>
  <si>
    <t>Задолженность перед арендаторов на начало периода</t>
  </si>
  <si>
    <t>Фактически получено за рекламу в лифтах и от провайдеров</t>
  </si>
  <si>
    <t>Планировалось получить за рекламу в лифтах и от провайдеров согласно договора</t>
  </si>
  <si>
    <t>Задолженность арендаторов перед ТСЖ на конец периода</t>
  </si>
  <si>
    <t>Собрано с собственников по тарифу</t>
  </si>
  <si>
    <t>Оплачено подрядчику за услуги</t>
  </si>
  <si>
    <t>Излишки</t>
  </si>
  <si>
    <t>Планировалось собрать за услуги по договору</t>
  </si>
  <si>
    <t>Задолженность собственников</t>
  </si>
  <si>
    <t>Начислено подрядчиком за услуги</t>
  </si>
  <si>
    <t>Задолженность на конец периода</t>
  </si>
  <si>
    <t>Задолженность перед ОАО "Пермьэнергосбыт" за электроэнергию на начало периода</t>
  </si>
  <si>
    <t>Оплачено ОАО "Пермьэнергосбыт" за услуги</t>
  </si>
  <si>
    <t>Начислено ОАО "Пермьэнергосбыт" за услуги</t>
  </si>
  <si>
    <t>Задолженность перед ОАО "Пермьэнергосбыт" за электроэнергию на конец периода</t>
  </si>
  <si>
    <t>Оплачено ОАО "Новогор" за услуги</t>
  </si>
  <si>
    <t>Начислено ОАО "Новогор" за услуги</t>
  </si>
  <si>
    <t>Задолженность перед ОАО "Новогор" за электроэнергию на конец периода</t>
  </si>
  <si>
    <t>с «01» января 2020 г. по «31» декабря 2020 г.</t>
  </si>
  <si>
    <t>январь 2020 г.</t>
  </si>
  <si>
    <t>февраль 2020 г.</t>
  </si>
  <si>
    <t>март 2020 г.</t>
  </si>
  <si>
    <t>апрель 2020 г.</t>
  </si>
  <si>
    <t>май 2020 г.</t>
  </si>
  <si>
    <t>июнь 2020 г.</t>
  </si>
  <si>
    <t>июль 2020 г.</t>
  </si>
  <si>
    <t>август 2020 г.</t>
  </si>
  <si>
    <t>сентябрь 2020 г.</t>
  </si>
  <si>
    <t>октябрь 2020 г.</t>
  </si>
  <si>
    <t>ноябрь 2020 г.</t>
  </si>
  <si>
    <t>декабрь 2020 г.</t>
  </si>
  <si>
    <t>Доп работы собственникам факт/план</t>
  </si>
  <si>
    <t>Доп работы оплачено/начислено</t>
  </si>
  <si>
    <t>Лифт</t>
  </si>
  <si>
    <t>ОДН тепло ТГК оплачено/начислено</t>
  </si>
  <si>
    <t>ОДН тепло собственникам факт/план</t>
  </si>
  <si>
    <t>Распопова Е. П.</t>
  </si>
  <si>
    <t>Берсенёв Д. Н.</t>
  </si>
  <si>
    <t>Старцев А.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</si>
</sst>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₽&quot;;[Red]\-#,##0.00\ &quot;₽&quot;"/>
    <numFmt numFmtId="164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right" vertical="center"/>
    </xf>
    <xf numFmtId="164" fontId="0" fillId="0" borderId="0" xfId="0" applyNumberFormat="1"/>
    <xf numFmtId="164" fontId="4" fillId="0" borderId="0" xfId="0" applyNumberFormat="1" applyFont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0" fillId="2" borderId="0" xfId="0" applyFill="1"/>
    <xf numFmtId="4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/>
    <xf numFmtId="164" fontId="0" fillId="0" borderId="0" xfId="0" applyNumberFormat="1" applyAlignment="1">
      <alignment horizontal="center"/>
    </xf>
    <xf numFmtId="4" fontId="7" fillId="0" borderId="1" xfId="0" applyNumberFormat="1" applyFont="1" applyBorder="1"/>
    <xf numFmtId="164" fontId="2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7" fillId="0" borderId="3" xfId="0" applyNumberFormat="1" applyFon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" fontId="0" fillId="0" borderId="4" xfId="0" applyNumberFormat="1" applyBorder="1"/>
    <xf numFmtId="4" fontId="0" fillId="2" borderId="1" xfId="0" applyNumberFormat="1" applyFill="1" applyBorder="1"/>
    <xf numFmtId="4" fontId="0" fillId="0" borderId="2" xfId="0" applyNumberFormat="1" applyBorder="1"/>
    <xf numFmtId="164" fontId="0" fillId="0" borderId="5" xfId="0" applyNumberFormat="1" applyBorder="1"/>
    <xf numFmtId="164" fontId="3" fillId="2" borderId="6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/>
    <xf numFmtId="164" fontId="4" fillId="3" borderId="0" xfId="0" applyNumberFormat="1" applyFont="1" applyFill="1"/>
    <xf numFmtId="164" fontId="3" fillId="3" borderId="0" xfId="0" applyNumberFormat="1" applyFont="1" applyFill="1"/>
    <xf numFmtId="164" fontId="2" fillId="3" borderId="0" xfId="0" applyNumberFormat="1" applyFont="1" applyFill="1"/>
    <xf numFmtId="0" fontId="0" fillId="3" borderId="0" xfId="0" applyFill="1"/>
    <xf numFmtId="164" fontId="2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vertical="center"/>
    </xf>
    <xf numFmtId="164" fontId="0" fillId="2" borderId="0" xfId="0" applyNumberFormat="1" applyFill="1"/>
    <xf numFmtId="8" fontId="10" fillId="0" borderId="0" xfId="0" applyNumberFormat="1" applyFont="1" applyFill="1" applyAlignment="1">
      <alignment horizontal="left" vertical="center"/>
    </xf>
    <xf numFmtId="8" fontId="10" fillId="0" borderId="0" xfId="0" applyNumberFormat="1" applyFont="1" applyFill="1"/>
    <xf numFmtId="8" fontId="3" fillId="0" borderId="0" xfId="0" applyNumberFormat="1" applyFont="1" applyFill="1"/>
    <xf numFmtId="8" fontId="11" fillId="0" borderId="0" xfId="0" applyNumberFormat="1" applyFont="1" applyFill="1"/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за 2019"/>
      <sheetName val="Лист1"/>
    </sheetNames>
    <sheetDataSet>
      <sheetData sheetId="0">
        <row r="8">
          <cell r="AN8">
            <v>-272477.45000000007</v>
          </cell>
        </row>
        <row r="9">
          <cell r="AN9">
            <v>-163628.03</v>
          </cell>
        </row>
        <row r="11">
          <cell r="AN11">
            <v>-82738</v>
          </cell>
        </row>
        <row r="12">
          <cell r="AN12">
            <v>192409.56000000029</v>
          </cell>
        </row>
        <row r="20">
          <cell r="AN20">
            <v>-2250</v>
          </cell>
        </row>
        <row r="21">
          <cell r="AN21">
            <v>0</v>
          </cell>
        </row>
        <row r="22">
          <cell r="AN22">
            <v>-450</v>
          </cell>
        </row>
        <row r="23">
          <cell r="AN23">
            <v>-600</v>
          </cell>
        </row>
        <row r="24">
          <cell r="AN24">
            <v>-1200</v>
          </cell>
        </row>
        <row r="26">
          <cell r="AN26">
            <v>598.65600000000177</v>
          </cell>
        </row>
        <row r="27">
          <cell r="AN27">
            <v>-2614</v>
          </cell>
        </row>
        <row r="28">
          <cell r="AN28">
            <v>-4502.9999999999709</v>
          </cell>
        </row>
        <row r="29">
          <cell r="AN29">
            <v>-97891.290000000008</v>
          </cell>
        </row>
        <row r="30">
          <cell r="AN30">
            <v>-9314.8000000000138</v>
          </cell>
        </row>
        <row r="31">
          <cell r="AN31">
            <v>0</v>
          </cell>
        </row>
        <row r="32">
          <cell r="AN32">
            <v>-257.6119999999737</v>
          </cell>
        </row>
        <row r="33">
          <cell r="AN33">
            <v>-7012.429999999973</v>
          </cell>
        </row>
        <row r="34">
          <cell r="AN34">
            <v>-7959.1600000000008</v>
          </cell>
        </row>
        <row r="35">
          <cell r="AN35">
            <v>-4152.8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5"/>
  <sheetViews>
    <sheetView tabSelected="1" zoomScaleNormal="100" workbookViewId="0">
      <pane xSplit="2" ySplit="6" topLeftCell="AC7" activePane="bottomRight" state="frozen"/>
      <selection pane="topRight" activeCell="C1" sqref="C1"/>
      <selection pane="bottomLeft" activeCell="A8" sqref="A8"/>
      <selection pane="bottomRight" activeCell="AH11" sqref="AH11"/>
    </sheetView>
  </sheetViews>
  <sheetFormatPr defaultRowHeight="15" x14ac:dyDescent="0.25"/>
  <cols>
    <col min="1" max="1" width="46" style="1" customWidth="1"/>
    <col min="2" max="2" width="12.140625" style="3" bestFit="1" customWidth="1"/>
    <col min="3" max="3" width="13" style="3" customWidth="1"/>
    <col min="4" max="4" width="13.28515625" style="5" customWidth="1"/>
    <col min="5" max="5" width="11.7109375" style="5" customWidth="1"/>
    <col min="6" max="6" width="12.140625" style="5" customWidth="1"/>
    <col min="7" max="7" width="11.5703125" style="5" customWidth="1"/>
    <col min="8" max="8" width="11.5703125" style="5" bestFit="1" customWidth="1"/>
    <col min="9" max="9" width="12.28515625" style="5" bestFit="1" customWidth="1"/>
    <col min="10" max="10" width="11.5703125" style="5" bestFit="1" customWidth="1"/>
    <col min="11" max="11" width="11.5703125" style="5" customWidth="1"/>
    <col min="12" max="12" width="12.28515625" style="5" customWidth="1"/>
    <col min="13" max="13" width="11.5703125" style="5" customWidth="1"/>
    <col min="14" max="14" width="12.28515625" style="5" bestFit="1" customWidth="1"/>
    <col min="15" max="15" width="14" style="5" customWidth="1"/>
    <col min="16" max="16" width="11.5703125" style="5" customWidth="1"/>
    <col min="17" max="17" width="12.28515625" style="5" bestFit="1" customWidth="1"/>
    <col min="18" max="18" width="13.5703125" style="5" customWidth="1"/>
    <col min="19" max="19" width="11.5703125" style="5" customWidth="1"/>
    <col min="20" max="20" width="12.28515625" style="5" bestFit="1" customWidth="1"/>
    <col min="21" max="21" width="13.28515625" style="5" customWidth="1"/>
    <col min="22" max="22" width="11.5703125" style="5" customWidth="1"/>
    <col min="23" max="23" width="12.28515625" style="5" bestFit="1" customWidth="1"/>
    <col min="24" max="24" width="13.28515625" style="5" customWidth="1"/>
    <col min="25" max="25" width="11.5703125" style="5" bestFit="1" customWidth="1"/>
    <col min="26" max="26" width="11.5703125" style="5" customWidth="1"/>
    <col min="27" max="27" width="13.85546875" style="5" bestFit="1" customWidth="1"/>
    <col min="28" max="28" width="11.5703125" style="5" bestFit="1" customWidth="1"/>
    <col min="29" max="29" width="11.5703125" style="5" customWidth="1"/>
    <col min="30" max="30" width="12.28515625" style="5" bestFit="1" customWidth="1"/>
    <col min="31" max="31" width="11.5703125" style="5" bestFit="1" customWidth="1"/>
    <col min="32" max="32" width="13" style="5" customWidth="1"/>
    <col min="33" max="33" width="12.28515625" style="5" bestFit="1" customWidth="1"/>
    <col min="34" max="34" width="11.5703125" style="5" bestFit="1" customWidth="1"/>
    <col min="35" max="35" width="11.5703125" style="5" customWidth="1"/>
    <col min="36" max="36" width="12.85546875" style="5" customWidth="1"/>
    <col min="37" max="38" width="11.5703125" style="5" customWidth="1"/>
    <col min="39" max="39" width="12.5703125" style="5" customWidth="1"/>
    <col min="40" max="40" width="12.28515625" style="5" bestFit="1" customWidth="1"/>
    <col min="41" max="42" width="13.140625" style="5" bestFit="1" customWidth="1"/>
    <col min="43" max="43" width="13.140625" customWidth="1"/>
  </cols>
  <sheetData>
    <row r="1" spans="1:43" ht="15.75" x14ac:dyDescent="0.25">
      <c r="A1" s="13" t="s">
        <v>11</v>
      </c>
      <c r="B1" s="13"/>
      <c r="C1" s="13"/>
      <c r="D1" s="13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I1"/>
      <c r="AK1"/>
      <c r="AL1"/>
      <c r="AM1"/>
      <c r="AN1"/>
      <c r="AO1"/>
      <c r="AP1"/>
    </row>
    <row r="2" spans="1:43" x14ac:dyDescent="0.25">
      <c r="A2" t="s">
        <v>9</v>
      </c>
      <c r="B2" t="s">
        <v>75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AA2"/>
      <c r="AB2"/>
      <c r="AC2"/>
      <c r="AD2"/>
      <c r="AE2"/>
      <c r="AK2"/>
      <c r="AL2"/>
      <c r="AM2"/>
      <c r="AN2"/>
      <c r="AO2"/>
      <c r="AP2"/>
    </row>
    <row r="3" spans="1:43" x14ac:dyDescent="0.25">
      <c r="A3" t="s">
        <v>10</v>
      </c>
      <c r="B3" t="s">
        <v>12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K3"/>
      <c r="AL3"/>
      <c r="AM3"/>
      <c r="AN3"/>
      <c r="AO3"/>
      <c r="AP3"/>
    </row>
    <row r="4" spans="1:43" ht="15.75" thickBot="1" x14ac:dyDescent="0.3">
      <c r="A4" s="54" t="s">
        <v>17</v>
      </c>
      <c r="B4" s="54"/>
      <c r="C4" s="54"/>
      <c r="D4" s="54"/>
      <c r="E4" t="s">
        <v>18</v>
      </c>
      <c r="F4" s="14"/>
      <c r="G4" s="1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K4"/>
      <c r="AL4"/>
      <c r="AM4"/>
      <c r="AN4"/>
      <c r="AO4"/>
      <c r="AP4"/>
    </row>
    <row r="5" spans="1:43" ht="16.5" thickBot="1" x14ac:dyDescent="0.3">
      <c r="A5" s="55" t="s">
        <v>13</v>
      </c>
      <c r="B5" s="55"/>
      <c r="C5" s="55"/>
      <c r="D5" s="56"/>
      <c r="E5" s="12">
        <v>5218.8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AA5"/>
      <c r="AB5"/>
      <c r="AC5"/>
      <c r="AD5"/>
      <c r="AE5"/>
      <c r="AK5"/>
      <c r="AL5"/>
      <c r="AM5"/>
      <c r="AN5" t="s">
        <v>39</v>
      </c>
      <c r="AO5"/>
      <c r="AP5"/>
      <c r="AQ5" t="s">
        <v>42</v>
      </c>
    </row>
    <row r="6" spans="1:43" x14ac:dyDescent="0.25">
      <c r="D6" s="45"/>
      <c r="E6" s="24" t="s">
        <v>76</v>
      </c>
      <c r="F6" s="24"/>
      <c r="G6" s="24"/>
      <c r="H6" s="24" t="s">
        <v>77</v>
      </c>
      <c r="I6" s="24"/>
      <c r="J6" s="24"/>
      <c r="K6" s="24" t="s">
        <v>78</v>
      </c>
      <c r="L6" s="24"/>
      <c r="M6" s="57" t="s">
        <v>79</v>
      </c>
      <c r="N6" s="57"/>
      <c r="O6" s="57"/>
      <c r="P6" s="57" t="s">
        <v>80</v>
      </c>
      <c r="Q6" s="57"/>
      <c r="R6" s="57"/>
      <c r="S6" s="57" t="s">
        <v>81</v>
      </c>
      <c r="T6" s="57"/>
      <c r="U6" s="57"/>
      <c r="V6" s="57" t="s">
        <v>82</v>
      </c>
      <c r="W6" s="57"/>
      <c r="X6" s="57"/>
      <c r="Y6" s="57" t="s">
        <v>83</v>
      </c>
      <c r="Z6" s="57"/>
      <c r="AA6" s="57"/>
      <c r="AB6" s="57" t="s">
        <v>84</v>
      </c>
      <c r="AC6" s="57"/>
      <c r="AD6" s="57"/>
      <c r="AE6" s="57" t="s">
        <v>85</v>
      </c>
      <c r="AF6" s="57"/>
      <c r="AG6" s="57"/>
      <c r="AH6" s="57" t="s">
        <v>86</v>
      </c>
      <c r="AI6" s="57"/>
      <c r="AJ6" s="57"/>
      <c r="AK6" s="57" t="s">
        <v>87</v>
      </c>
      <c r="AL6" s="57"/>
      <c r="AM6" s="57"/>
      <c r="AO6" s="5" t="s">
        <v>40</v>
      </c>
      <c r="AP6" s="5" t="s">
        <v>41</v>
      </c>
    </row>
    <row r="7" spans="1:43" x14ac:dyDescent="0.25">
      <c r="C7" s="5" t="s">
        <v>2</v>
      </c>
      <c r="D7" s="17" t="s">
        <v>22</v>
      </c>
      <c r="E7" s="5" t="s">
        <v>23</v>
      </c>
      <c r="F7" s="5" t="s">
        <v>24</v>
      </c>
      <c r="G7" s="17" t="s">
        <v>22</v>
      </c>
      <c r="H7" s="5" t="s">
        <v>23</v>
      </c>
      <c r="I7" s="5" t="s">
        <v>24</v>
      </c>
      <c r="J7" s="17" t="s">
        <v>22</v>
      </c>
      <c r="K7" s="5" t="s">
        <v>23</v>
      </c>
      <c r="L7" s="5" t="s">
        <v>24</v>
      </c>
      <c r="M7" s="17" t="s">
        <v>22</v>
      </c>
      <c r="N7" s="5" t="s">
        <v>23</v>
      </c>
      <c r="O7" s="5" t="s">
        <v>24</v>
      </c>
      <c r="P7" s="17" t="s">
        <v>22</v>
      </c>
      <c r="Q7" s="5" t="s">
        <v>23</v>
      </c>
      <c r="R7" s="5" t="s">
        <v>24</v>
      </c>
      <c r="S7" s="17" t="s">
        <v>22</v>
      </c>
      <c r="T7" s="5" t="s">
        <v>23</v>
      </c>
      <c r="U7" s="5" t="s">
        <v>24</v>
      </c>
      <c r="V7" s="17" t="s">
        <v>22</v>
      </c>
      <c r="W7" s="5" t="s">
        <v>23</v>
      </c>
      <c r="X7" s="5" t="s">
        <v>24</v>
      </c>
      <c r="Y7" s="24" t="s">
        <v>22</v>
      </c>
      <c r="Z7" s="5" t="s">
        <v>23</v>
      </c>
      <c r="AA7" s="5" t="s">
        <v>24</v>
      </c>
      <c r="AB7" s="24" t="s">
        <v>22</v>
      </c>
      <c r="AC7" s="5" t="s">
        <v>23</v>
      </c>
      <c r="AD7" s="5" t="s">
        <v>24</v>
      </c>
      <c r="AE7" s="24" t="s">
        <v>22</v>
      </c>
      <c r="AF7" s="5" t="s">
        <v>23</v>
      </c>
      <c r="AG7" s="5" t="s">
        <v>24</v>
      </c>
      <c r="AH7" s="24" t="s">
        <v>22</v>
      </c>
      <c r="AI7" s="5" t="s">
        <v>23</v>
      </c>
      <c r="AJ7" s="5" t="s">
        <v>24</v>
      </c>
      <c r="AK7" s="24" t="s">
        <v>22</v>
      </c>
      <c r="AL7" s="5" t="s">
        <v>23</v>
      </c>
      <c r="AM7" s="5" t="s">
        <v>24</v>
      </c>
    </row>
    <row r="8" spans="1:43" ht="15.75" thickBot="1" x14ac:dyDescent="0.3">
      <c r="A8" s="1" t="s">
        <v>34</v>
      </c>
      <c r="B8" s="23"/>
      <c r="C8" s="5">
        <f>'[1]отчёт за 2019'!AN8</f>
        <v>-272477.45000000007</v>
      </c>
      <c r="D8" s="21">
        <f>141461.73-D20-SUM(D14:D19)</f>
        <v>141161.73000000001</v>
      </c>
      <c r="E8" s="19">
        <f>$B9+E20+E27+E29+E31+E33+E35</f>
        <v>171966.80200000005</v>
      </c>
      <c r="F8" s="20">
        <f>C8+D8-E8</f>
        <v>-303282.52200000011</v>
      </c>
      <c r="G8" s="21">
        <f>194157.24-G20-SUM(G14:G19)</f>
        <v>188957.24</v>
      </c>
      <c r="H8" s="19">
        <f>$B9+H20+H27+H29+H31+H33+H35</f>
        <v>196613.28200000001</v>
      </c>
      <c r="I8" s="20">
        <f>F8+G8-H8</f>
        <v>-310938.56400000013</v>
      </c>
      <c r="J8" s="21">
        <f>196863.47-J20-SUM(J14:J19)</f>
        <v>196563.47</v>
      </c>
      <c r="K8" s="19">
        <f>$B9+K20+K27+K29+K31+K33+K35</f>
        <v>207589.76199999999</v>
      </c>
      <c r="L8" s="20">
        <f>I8+J8-K8</f>
        <v>-321964.85600000015</v>
      </c>
      <c r="M8" s="21">
        <f>166850.32-M20-SUM(M14:M19)</f>
        <v>166550.32</v>
      </c>
      <c r="N8" s="19">
        <f>$B9+N20+N27+N29+N31+N33+N35</f>
        <v>201864.32199999999</v>
      </c>
      <c r="O8" s="20">
        <f>L8+M8-N8</f>
        <v>-357278.85800000012</v>
      </c>
      <c r="P8" s="21">
        <f>187955.2-P20-SUM(P14:P19)</f>
        <v>187655.2</v>
      </c>
      <c r="Q8" s="19">
        <f>$B9+Q20+Q27+Q29+Q31+Q33+Q35</f>
        <v>195274.36199999999</v>
      </c>
      <c r="R8" s="20">
        <f>O8+P8-Q8</f>
        <v>-364898.02000000014</v>
      </c>
      <c r="S8" s="21">
        <f>231844.67-S20-SUM(S14:S19)</f>
        <v>229044.67</v>
      </c>
      <c r="T8" s="19">
        <f>$B9+T20+T27+T29+T31+T33+T35</f>
        <v>193688.842</v>
      </c>
      <c r="U8" s="20">
        <f>R8+S8-T8</f>
        <v>-329542.19200000016</v>
      </c>
      <c r="V8" s="21">
        <f>203380.38-V20-SUM(V14:V19)</f>
        <v>203080.38</v>
      </c>
      <c r="W8" s="19">
        <f>$B9+W20+W27+W29+W31+W33+W35</f>
        <v>192522.38200000001</v>
      </c>
      <c r="X8" s="20">
        <f>U8+V8-W8</f>
        <v>-318984.19400000013</v>
      </c>
      <c r="Y8" s="21">
        <f>422158.33-Y20-SUM(Y14:Y19)</f>
        <v>375598.72000000003</v>
      </c>
      <c r="Z8" s="19">
        <f>$B9+Z20+Z27+Z29+Z31+Z33+Z35</f>
        <v>291008.36200000002</v>
      </c>
      <c r="AA8" s="20">
        <f>X8+Y8-Z8</f>
        <v>-234393.83600000013</v>
      </c>
      <c r="AB8" s="21">
        <f>198195.91-AB20-SUM(AB14:AB19)</f>
        <v>197895.91</v>
      </c>
      <c r="AC8" s="19">
        <f>$B9+AC20+AC27+AC29+AC31+AC33+AC35</f>
        <v>190521.39199999999</v>
      </c>
      <c r="AD8" s="20">
        <f>AA8+AB8-AC8</f>
        <v>-227019.31800000012</v>
      </c>
      <c r="AE8" s="21">
        <f>193129.63-AE20-SUM(AE14:AE19)</f>
        <v>192379.63</v>
      </c>
      <c r="AF8" s="19">
        <f>$B9+AF20+AF27+AF29+AF31+AF33+AF35</f>
        <v>175488.64200000002</v>
      </c>
      <c r="AG8" s="20">
        <f>AD8+AE8-AF8</f>
        <v>-210128.33000000013</v>
      </c>
      <c r="AH8" s="21">
        <f>177518.22-AH20-SUM(AH14:AH19)</f>
        <v>174518.22</v>
      </c>
      <c r="AI8" s="19">
        <f>$B9+AI20+AI27+AI29+AI31+AI33+AI35</f>
        <v>182081.36200000002</v>
      </c>
      <c r="AJ8" s="20">
        <f>AG8+AH8-AI8</f>
        <v>-217691.47200000015</v>
      </c>
      <c r="AK8" s="21">
        <f>422158.33-AK20-SUM(AK14:AK19)</f>
        <v>422158.33</v>
      </c>
      <c r="AL8" s="19">
        <f>$B9+AL20+AL27+AL29+AL31+AL33+AL35</f>
        <v>223741.902</v>
      </c>
      <c r="AM8" s="20">
        <f>AJ8+AK8-AL8</f>
        <v>-19275.04400000014</v>
      </c>
      <c r="AN8" s="5">
        <f>C8</f>
        <v>-272477.45000000007</v>
      </c>
      <c r="AO8" s="5">
        <f>SUMIF($C7:$AM7,"ФАКТ",$C8:$AM8)</f>
        <v>2675563.8199999998</v>
      </c>
      <c r="AP8" s="5">
        <f>SUMIF($C7:$AM7,"ПЛАН",$C8:$AM8)</f>
        <v>2422361.4139999999</v>
      </c>
      <c r="AQ8" s="5">
        <f>AN8+AO8-AP8</f>
        <v>-19275.044000000227</v>
      </c>
    </row>
    <row r="9" spans="1:43" ht="15.75" thickBot="1" x14ac:dyDescent="0.3">
      <c r="A9" s="1" t="s">
        <v>30</v>
      </c>
      <c r="B9" s="18">
        <f>$E5*B12</f>
        <v>133810.03200000001</v>
      </c>
      <c r="C9" s="5">
        <f>'[1]отчёт за 2019'!AN9</f>
        <v>-163628.03</v>
      </c>
      <c r="D9" s="21">
        <f>69732.17+69723.17</f>
        <v>139455.34</v>
      </c>
      <c r="E9" s="19">
        <v>69723.17</v>
      </c>
      <c r="F9" s="20">
        <f>C9+D9-E9</f>
        <v>-93895.86</v>
      </c>
      <c r="G9" s="21">
        <v>69723.17</v>
      </c>
      <c r="H9" s="19">
        <v>69723.17</v>
      </c>
      <c r="I9" s="20">
        <f>F9+G9-H9</f>
        <v>-93895.86</v>
      </c>
      <c r="J9" s="21">
        <v>69827.539999999994</v>
      </c>
      <c r="K9" s="19">
        <v>69723.17</v>
      </c>
      <c r="L9" s="20">
        <f>I9+J9-K9</f>
        <v>-93791.49</v>
      </c>
      <c r="M9" s="21">
        <f>69827.54+5889</f>
        <v>75716.539999999994</v>
      </c>
      <c r="N9" s="19">
        <v>50000</v>
      </c>
      <c r="O9" s="20">
        <f>L9+M9-N9</f>
        <v>-68074.950000000012</v>
      </c>
      <c r="P9" s="21">
        <v>59000.54</v>
      </c>
      <c r="Q9" s="19">
        <v>50000</v>
      </c>
      <c r="R9" s="20">
        <f>O9+P9-Q9</f>
        <v>-59074.410000000011</v>
      </c>
      <c r="S9" s="21">
        <v>69827.539999999994</v>
      </c>
      <c r="T9" s="19">
        <v>50000</v>
      </c>
      <c r="U9" s="20">
        <f>R9+S9-T9</f>
        <v>-39246.870000000017</v>
      </c>
      <c r="V9" s="21">
        <v>69827.539999999994</v>
      </c>
      <c r="W9" s="19">
        <v>50000</v>
      </c>
      <c r="X9" s="20">
        <f>U9+V9-W9</f>
        <v>-19419.330000000024</v>
      </c>
      <c r="Y9" s="21">
        <f>50000+10000</f>
        <v>60000</v>
      </c>
      <c r="Z9" s="19">
        <v>50000</v>
      </c>
      <c r="AA9" s="20">
        <f>X9+Y9-Z9</f>
        <v>-9419.3300000000236</v>
      </c>
      <c r="AB9" s="21">
        <f>50000+50000</f>
        <v>100000</v>
      </c>
      <c r="AC9" s="19">
        <v>50000</v>
      </c>
      <c r="AD9" s="20">
        <f>AA9+AB9-AC9</f>
        <v>40580.669999999984</v>
      </c>
      <c r="AE9" s="21">
        <f>50000+20000</f>
        <v>70000</v>
      </c>
      <c r="AF9" s="19">
        <v>50000</v>
      </c>
      <c r="AG9" s="20">
        <f>AD9+AE9-AF9</f>
        <v>60580.669999999984</v>
      </c>
      <c r="AH9" s="21"/>
      <c r="AI9" s="19">
        <v>50000</v>
      </c>
      <c r="AJ9" s="20">
        <f>AG9+AH9-AI9</f>
        <v>10580.669999999984</v>
      </c>
      <c r="AK9" s="21">
        <v>100911.13</v>
      </c>
      <c r="AL9" s="19">
        <v>50000</v>
      </c>
      <c r="AM9" s="20">
        <f>AJ9+AK9-AL9</f>
        <v>61491.799999999988</v>
      </c>
      <c r="AN9" s="5">
        <f>C9</f>
        <v>-163628.03</v>
      </c>
      <c r="AO9" s="5">
        <f>SUMIF($C7:$AM7,"ФАКТ",$C9:$AM9)</f>
        <v>884289.34</v>
      </c>
      <c r="AP9" s="5">
        <f>SUMIF($C7:$AM7,"ПЛАН",$C9:$AM9)</f>
        <v>659169.51</v>
      </c>
      <c r="AQ9" s="5">
        <f>AN9+AO9-AP9</f>
        <v>61491.79999999993</v>
      </c>
    </row>
    <row r="10" spans="1:43" ht="16.5" thickBot="1" x14ac:dyDescent="0.3">
      <c r="B10" s="12">
        <v>5.52</v>
      </c>
      <c r="C10" s="5" t="s">
        <v>2</v>
      </c>
      <c r="D10" s="5" t="s">
        <v>0</v>
      </c>
      <c r="E10" s="5" t="s">
        <v>1</v>
      </c>
      <c r="F10" s="5" t="s">
        <v>2</v>
      </c>
      <c r="G10" s="5" t="s">
        <v>0</v>
      </c>
      <c r="H10" s="5" t="s">
        <v>1</v>
      </c>
      <c r="I10" s="5" t="s">
        <v>2</v>
      </c>
      <c r="J10" s="5" t="s">
        <v>0</v>
      </c>
      <c r="K10" s="5" t="s">
        <v>1</v>
      </c>
      <c r="L10" s="5" t="s">
        <v>2</v>
      </c>
      <c r="M10" s="5" t="s">
        <v>0</v>
      </c>
      <c r="N10" s="5" t="s">
        <v>1</v>
      </c>
      <c r="O10" s="5" t="s">
        <v>2</v>
      </c>
      <c r="P10" s="5" t="s">
        <v>0</v>
      </c>
      <c r="Q10" s="5" t="s">
        <v>1</v>
      </c>
      <c r="R10" s="5" t="s">
        <v>2</v>
      </c>
      <c r="S10" s="5" t="s">
        <v>0</v>
      </c>
      <c r="T10" s="5" t="s">
        <v>1</v>
      </c>
      <c r="U10" s="5" t="s">
        <v>2</v>
      </c>
      <c r="V10" s="5" t="s">
        <v>0</v>
      </c>
      <c r="W10" s="5" t="s">
        <v>1</v>
      </c>
      <c r="X10" s="5" t="s">
        <v>2</v>
      </c>
      <c r="Y10" s="5" t="s">
        <v>0</v>
      </c>
      <c r="Z10" s="5" t="s">
        <v>1</v>
      </c>
      <c r="AA10" s="5" t="s">
        <v>2</v>
      </c>
      <c r="AB10" s="5" t="s">
        <v>0</v>
      </c>
      <c r="AC10" s="5" t="s">
        <v>1</v>
      </c>
      <c r="AD10" s="5" t="s">
        <v>2</v>
      </c>
      <c r="AE10" s="5" t="s">
        <v>0</v>
      </c>
      <c r="AF10" s="5" t="s">
        <v>1</v>
      </c>
      <c r="AG10" s="5" t="s">
        <v>2</v>
      </c>
      <c r="AH10" s="5" t="s">
        <v>0</v>
      </c>
      <c r="AI10" s="5" t="s">
        <v>1</v>
      </c>
      <c r="AJ10" s="5" t="s">
        <v>2</v>
      </c>
      <c r="AK10" s="5" t="s">
        <v>0</v>
      </c>
      <c r="AL10" s="5" t="s">
        <v>1</v>
      </c>
      <c r="AM10" s="5" t="s">
        <v>2</v>
      </c>
      <c r="AN10" s="53">
        <f>AM9+AM11</f>
        <v>0</v>
      </c>
      <c r="AQ10" s="53">
        <f>AQ9+AQ11</f>
        <v>-7.2759576141834259E-11</v>
      </c>
    </row>
    <row r="11" spans="1:43" ht="32.25" thickBot="1" x14ac:dyDescent="0.3">
      <c r="A11" s="2" t="s">
        <v>35</v>
      </c>
      <c r="B11" s="12">
        <f>20.12</f>
        <v>20.12</v>
      </c>
      <c r="C11" s="5">
        <f>'[1]отчёт за 2019'!AN11</f>
        <v>-82738</v>
      </c>
      <c r="D11" s="21">
        <v>11490</v>
      </c>
      <c r="E11" s="19">
        <f>4607.8-9</f>
        <v>4598.8</v>
      </c>
      <c r="F11" s="20">
        <f>C11+D11-E11</f>
        <v>-75846.8</v>
      </c>
      <c r="G11" s="21"/>
      <c r="H11" s="19"/>
      <c r="I11" s="20">
        <f>F11+G11-H11</f>
        <v>-75846.8</v>
      </c>
      <c r="J11" s="21"/>
      <c r="K11" s="19">
        <v>5889</v>
      </c>
      <c r="L11" s="20">
        <f>I11+J11-K11</f>
        <v>-81735.8</v>
      </c>
      <c r="M11" s="21">
        <v>5889</v>
      </c>
      <c r="N11" s="19"/>
      <c r="O11" s="20">
        <f>L11+M11-N11</f>
        <v>-75846.8</v>
      </c>
      <c r="P11" s="21"/>
      <c r="Q11" s="19"/>
      <c r="R11" s="20">
        <f>O11+P11-Q11</f>
        <v>-75846.8</v>
      </c>
      <c r="S11" s="21"/>
      <c r="T11" s="19"/>
      <c r="U11" s="20">
        <f>R11+S11-T11</f>
        <v>-75846.8</v>
      </c>
      <c r="V11" s="21"/>
      <c r="W11" s="19"/>
      <c r="X11" s="20">
        <f>U11+V11-W11</f>
        <v>-75846.8</v>
      </c>
      <c r="Y11" s="21">
        <v>14355</v>
      </c>
      <c r="Z11" s="19"/>
      <c r="AA11" s="20">
        <f>X11+Y11-Z11</f>
        <v>-61491.8</v>
      </c>
      <c r="AB11" s="21"/>
      <c r="AC11" s="19"/>
      <c r="AD11" s="20">
        <f>AA11+AB11-AC11</f>
        <v>-61491.8</v>
      </c>
      <c r="AE11" s="21"/>
      <c r="AF11" s="19"/>
      <c r="AG11" s="20">
        <f>AD11+AE11-AF11</f>
        <v>-61491.8</v>
      </c>
      <c r="AH11" s="21"/>
      <c r="AI11" s="19"/>
      <c r="AJ11" s="20">
        <f>AG11+AH11-AI11</f>
        <v>-61491.8</v>
      </c>
      <c r="AK11" s="21"/>
      <c r="AL11" s="19"/>
      <c r="AM11" s="20">
        <f>AJ11+AK11-AL11</f>
        <v>-61491.8</v>
      </c>
      <c r="AN11" s="5">
        <f>C11</f>
        <v>-82738</v>
      </c>
      <c r="AO11" s="5">
        <f>SUMIF($C$10:$AM$10,"ДОХОД",$C11:$AM11)</f>
        <v>31734</v>
      </c>
      <c r="AP11" s="5">
        <f>SUMIF($C$10:$AM$10,"РАСХОД",$C11:$AM11)</f>
        <v>10487.8</v>
      </c>
      <c r="AQ11" s="5">
        <f>AN11+AO11-AP11</f>
        <v>-61491.8</v>
      </c>
    </row>
    <row r="12" spans="1:43" s="22" customFormat="1" ht="16.5" thickBot="1" x14ac:dyDescent="0.3">
      <c r="A12" s="10" t="s">
        <v>21</v>
      </c>
      <c r="B12" s="12">
        <f>B10+B11</f>
        <v>25.64</v>
      </c>
      <c r="C12" s="5">
        <f>'[1]отчёт за 2019'!AN12</f>
        <v>192409.56000000029</v>
      </c>
      <c r="D12" s="21">
        <f>D8+D14+SUM(D16:D20)</f>
        <v>141461.73000000001</v>
      </c>
      <c r="E12" s="19">
        <f>D9+SUM(E14:E19)+D28+D30+D32+D34+D36+D25+D38</f>
        <v>214863.04</v>
      </c>
      <c r="F12" s="20">
        <f>C12+D12-E12</f>
        <v>119008.25000000026</v>
      </c>
      <c r="G12" s="21">
        <f>G8+G14+SUM(G16:G20)</f>
        <v>194157.24</v>
      </c>
      <c r="H12" s="19">
        <f>G9+SUM(H14:H19)+G28+G30+G32+G34+G36+G25+G38</f>
        <v>274597.8</v>
      </c>
      <c r="I12" s="20">
        <f>F12+G12-H12</f>
        <v>38567.690000000235</v>
      </c>
      <c r="J12" s="21">
        <f>J8+J14+SUM(J16:J20)</f>
        <v>196863.47</v>
      </c>
      <c r="K12" s="19">
        <f>J9+SUM(K14:K19)+J28+J30+J32+J34+J36+J25+J38</f>
        <v>119443.54</v>
      </c>
      <c r="L12" s="20">
        <f>I12+J12-K12</f>
        <v>115987.62000000024</v>
      </c>
      <c r="M12" s="21">
        <f>M8+M14+SUM(M16:M20)</f>
        <v>166850.32</v>
      </c>
      <c r="N12" s="19">
        <f>M9+SUM(N14:N19)+M28+M30+M32+M34+M36+M25+M38</f>
        <v>244506.63999999998</v>
      </c>
      <c r="O12" s="20">
        <f>L12+M12-N12</f>
        <v>38331.30000000025</v>
      </c>
      <c r="P12" s="21">
        <f>P8+P14+SUM(P16:P20)</f>
        <v>187955.20000000001</v>
      </c>
      <c r="Q12" s="19">
        <f>P9+SUM(Q14:Q19)+P28+P30+P32+P34+P36+P25+P38</f>
        <v>138801.40000000002</v>
      </c>
      <c r="R12" s="20">
        <f>O12+P12-Q12</f>
        <v>87485.100000000239</v>
      </c>
      <c r="S12" s="21">
        <f>S8+S14+SUM(S16:S20)</f>
        <v>231844.67</v>
      </c>
      <c r="T12" s="19">
        <f>S9+SUM(T14:T19)+S28+S30+S32+S34+S36+S25+S38</f>
        <v>137428.10999999999</v>
      </c>
      <c r="U12" s="20">
        <f>R12+S12-T12</f>
        <v>181901.66000000027</v>
      </c>
      <c r="V12" s="21">
        <f>V8+V14+SUM(V16:V20)</f>
        <v>203380.38</v>
      </c>
      <c r="W12" s="19">
        <f>V9+SUM(W14:W19)+V28+V30+V32+V34+V36+V25+V38</f>
        <v>258394.88999999998</v>
      </c>
      <c r="X12" s="20">
        <f>U12+V12-W12</f>
        <v>126887.15000000029</v>
      </c>
      <c r="Y12" s="21">
        <f>Y8+Y14+SUM(Y16:Y20)</f>
        <v>422158.33</v>
      </c>
      <c r="Z12" s="19">
        <f>Y9+SUM(Z14:Z19)+Y28+Y30+Y32+Y34+Y36+Y25+Y38</f>
        <v>425363.55</v>
      </c>
      <c r="AA12" s="20">
        <f>X12+Y12-Z12</f>
        <v>123681.93000000034</v>
      </c>
      <c r="AB12" s="21">
        <f>AB8+AB14+SUM(AB16:AB20)</f>
        <v>198195.91</v>
      </c>
      <c r="AC12" s="19">
        <f>AB9+SUM(AC14:AC19)+AB28+AB30+AB32+AB34+AB36+AB25+AB38</f>
        <v>200771.36</v>
      </c>
      <c r="AD12" s="20">
        <f>AA12+AB12-AC12</f>
        <v>121106.48000000033</v>
      </c>
      <c r="AE12" s="21">
        <f>AE8+AE14+SUM(AE16:AE20)</f>
        <v>193129.63</v>
      </c>
      <c r="AF12" s="19">
        <f>AE9+SUM(AF14:AF19)+AE28+AE30+AE32+AE34+AE36+AE25+AE38</f>
        <v>153365.12000000002</v>
      </c>
      <c r="AG12" s="20">
        <f>AD12+AE12-AF12</f>
        <v>160870.99000000031</v>
      </c>
      <c r="AH12" s="21">
        <f>AH8+AH14+SUM(AH16:AH20)</f>
        <v>177518.22</v>
      </c>
      <c r="AI12" s="19">
        <f>AH9+SUM(AI14:AI19)+AH28+AH30+AH32+AH34+AH36+AH25+AH38</f>
        <v>76054.259999999995</v>
      </c>
      <c r="AJ12" s="20">
        <f>AG12+AH12-AI12</f>
        <v>262334.9500000003</v>
      </c>
      <c r="AK12" s="21">
        <f>AK8+AK14+SUM(AK16:AK20)</f>
        <v>422158.33</v>
      </c>
      <c r="AL12" s="19">
        <f>AK9+SUM(AL14:AL19)+AK28+AK30+AK32+AK34+AK36+AK25+AK38</f>
        <v>113045.13</v>
      </c>
      <c r="AM12" s="20">
        <f>AJ12+AK12-AL12</f>
        <v>571448.15000000026</v>
      </c>
      <c r="AN12" s="5">
        <f>C12</f>
        <v>192409.56000000029</v>
      </c>
      <c r="AO12" s="5">
        <f>SUMIF($C$10:$AM$10,"ДОХОД",$C12:$AM12)</f>
        <v>2735673.43</v>
      </c>
      <c r="AP12" s="5">
        <f>SUMIF($C$10:$AM$10,"РАСХОД",$C12:$AM12)</f>
        <v>2356634.84</v>
      </c>
      <c r="AQ12" s="5">
        <f>AN12+AO12-AP12</f>
        <v>571448.15000000037</v>
      </c>
    </row>
    <row r="13" spans="1:43" s="11" customFormat="1" ht="16.5" thickBot="1" x14ac:dyDescent="0.3">
      <c r="A13" s="36" t="s">
        <v>19</v>
      </c>
      <c r="B13" s="37"/>
      <c r="C13" s="38"/>
      <c r="D13" s="39"/>
      <c r="E13" s="40"/>
      <c r="F13" s="38"/>
      <c r="G13" s="39"/>
      <c r="H13" s="40"/>
      <c r="I13" s="38"/>
      <c r="J13" s="39"/>
      <c r="K13" s="40"/>
      <c r="L13" s="38"/>
      <c r="M13" s="40"/>
      <c r="N13" s="38"/>
      <c r="O13" s="39"/>
      <c r="P13" s="40"/>
      <c r="Q13" s="38"/>
      <c r="R13" s="39"/>
      <c r="S13" s="40"/>
      <c r="T13" s="38"/>
      <c r="U13" s="39"/>
      <c r="V13" s="40"/>
      <c r="W13" s="38"/>
      <c r="X13" s="41"/>
      <c r="Y13" s="40"/>
      <c r="Z13" s="38"/>
      <c r="AA13" s="41"/>
      <c r="AB13" s="40"/>
      <c r="AC13" s="38"/>
      <c r="AD13" s="41"/>
      <c r="AE13" s="40"/>
      <c r="AF13" s="38"/>
      <c r="AG13" s="41"/>
      <c r="AH13" s="40"/>
      <c r="AI13" s="38"/>
      <c r="AJ13" s="41"/>
      <c r="AK13" s="40"/>
      <c r="AL13" s="38"/>
      <c r="AM13" s="41"/>
      <c r="AN13" s="46"/>
    </row>
    <row r="14" spans="1:43" ht="32.25" thickBot="1" x14ac:dyDescent="0.3">
      <c r="A14" s="2" t="s">
        <v>20</v>
      </c>
      <c r="B14" s="4"/>
      <c r="C14" s="5"/>
      <c r="E14" s="5">
        <f>1000+125+25+50</f>
        <v>1200</v>
      </c>
      <c r="H14" s="5">
        <f>1190+27+189+27+54</f>
        <v>1487</v>
      </c>
      <c r="K14" s="5">
        <f>1190+400+400</f>
        <v>1990</v>
      </c>
      <c r="N14" s="5">
        <f>1190+1790+290+216+54+27+27+27+54</f>
        <v>3675</v>
      </c>
      <c r="Q14" s="5">
        <f>1190+27+108+81</f>
        <v>1406</v>
      </c>
      <c r="T14" s="5">
        <f>1190+189+290</f>
        <v>1669</v>
      </c>
      <c r="W14" s="5">
        <f>1190+27+189+27+27</f>
        <v>1460</v>
      </c>
      <c r="Z14" s="5">
        <f>1190+189+54+54</f>
        <v>1487</v>
      </c>
      <c r="AC14" s="5">
        <f>1190+216+27+27</f>
        <v>1460</v>
      </c>
      <c r="AF14" s="5">
        <f>1190+216+27+27+27</f>
        <v>1487</v>
      </c>
      <c r="AI14" s="5">
        <f>1190+135+54+27</f>
        <v>1406</v>
      </c>
      <c r="AN14" s="5">
        <f t="shared" ref="AN14:AN24" si="0">C14</f>
        <v>0</v>
      </c>
      <c r="AO14" s="5">
        <f t="shared" ref="AO14:AO26" si="1">SUMIF($C$10:$AM$10,"ДОХОД",$C14:$AM14)</f>
        <v>0</v>
      </c>
      <c r="AP14" s="5">
        <f t="shared" ref="AP14:AP26" si="2">SUMIF($C$10:$AM$10,"РАСХОД",$C14:$AM14)</f>
        <v>18727</v>
      </c>
      <c r="AQ14" s="5">
        <f t="shared" ref="AQ14:AQ20" si="3">AN14+AO14-AP14</f>
        <v>-18727</v>
      </c>
    </row>
    <row r="15" spans="1:43" ht="16.5" thickBot="1" x14ac:dyDescent="0.3">
      <c r="A15" s="2" t="s">
        <v>3</v>
      </c>
      <c r="B15" s="4"/>
      <c r="C15" s="5"/>
      <c r="E15" s="5">
        <v>12000</v>
      </c>
      <c r="H15" s="5">
        <v>12000</v>
      </c>
      <c r="N15" s="5">
        <v>24000</v>
      </c>
      <c r="P15" s="44"/>
      <c r="Q15" s="5">
        <v>12000</v>
      </c>
      <c r="R15" s="43"/>
      <c r="S15" s="44"/>
      <c r="T15" s="5">
        <v>12000</v>
      </c>
      <c r="W15" s="5">
        <v>12000</v>
      </c>
      <c r="Z15" s="5">
        <v>12000</v>
      </c>
      <c r="AC15" s="5">
        <v>12000</v>
      </c>
      <c r="AF15" s="5">
        <v>12000</v>
      </c>
      <c r="AI15" s="5">
        <v>7300</v>
      </c>
      <c r="AN15" s="5">
        <f t="shared" si="0"/>
        <v>0</v>
      </c>
      <c r="AO15" s="5">
        <f t="shared" si="1"/>
        <v>0</v>
      </c>
      <c r="AP15" s="5">
        <f t="shared" si="2"/>
        <v>127300</v>
      </c>
      <c r="AQ15" s="5">
        <f t="shared" si="3"/>
        <v>-127300</v>
      </c>
    </row>
    <row r="16" spans="1:43" ht="16.5" thickBot="1" x14ac:dyDescent="0.3">
      <c r="A16" s="2" t="s">
        <v>4</v>
      </c>
      <c r="B16" s="4"/>
      <c r="C16" s="5"/>
      <c r="P16" s="44"/>
      <c r="Q16" s="42"/>
      <c r="R16" s="43"/>
      <c r="S16" s="44"/>
      <c r="AH16" s="5">
        <v>3000</v>
      </c>
      <c r="AN16" s="5">
        <f t="shared" si="0"/>
        <v>0</v>
      </c>
      <c r="AO16" s="5">
        <f t="shared" si="1"/>
        <v>3000</v>
      </c>
      <c r="AP16" s="5">
        <f t="shared" si="2"/>
        <v>0</v>
      </c>
      <c r="AQ16" s="5">
        <f t="shared" si="3"/>
        <v>3000</v>
      </c>
    </row>
    <row r="17" spans="1:43" ht="15.75" thickBot="1" x14ac:dyDescent="0.3">
      <c r="A17" s="7" t="s">
        <v>5</v>
      </c>
      <c r="B17" s="8"/>
      <c r="C17" s="5"/>
      <c r="H17" s="5">
        <f>1494</f>
        <v>1494</v>
      </c>
      <c r="K17" s="5">
        <v>1011</v>
      </c>
      <c r="N17" s="5">
        <f>348+300</f>
        <v>648</v>
      </c>
      <c r="Q17" s="5">
        <f>38.15+63.79</f>
        <v>101.94</v>
      </c>
      <c r="AF17" s="5">
        <f>2988+471.48</f>
        <v>3459.48</v>
      </c>
      <c r="AN17" s="5">
        <f t="shared" si="0"/>
        <v>0</v>
      </c>
      <c r="AO17" s="5">
        <f t="shared" si="1"/>
        <v>0</v>
      </c>
      <c r="AP17" s="5">
        <f t="shared" si="2"/>
        <v>6714.42</v>
      </c>
      <c r="AQ17" s="5">
        <f t="shared" si="3"/>
        <v>-6714.42</v>
      </c>
    </row>
    <row r="18" spans="1:43" ht="15.75" thickBot="1" x14ac:dyDescent="0.3">
      <c r="A18" s="7" t="s">
        <v>6</v>
      </c>
      <c r="B18" s="8"/>
      <c r="C18" s="5"/>
      <c r="H18" s="5">
        <f>586.19+2528.68</f>
        <v>3114.87</v>
      </c>
      <c r="Q18" s="5">
        <f>28.61+123.42</f>
        <v>152.03</v>
      </c>
      <c r="AF18" s="5">
        <f>1172.39+5057.36+960.57+222.71</f>
        <v>7413.03</v>
      </c>
      <c r="AN18" s="5">
        <f t="shared" si="0"/>
        <v>0</v>
      </c>
      <c r="AO18" s="5">
        <f t="shared" si="1"/>
        <v>0</v>
      </c>
      <c r="AP18" s="5">
        <f t="shared" si="2"/>
        <v>10679.93</v>
      </c>
      <c r="AQ18" s="5">
        <f t="shared" si="3"/>
        <v>-10679.93</v>
      </c>
    </row>
    <row r="19" spans="1:43" ht="15.75" thickBot="1" x14ac:dyDescent="0.3">
      <c r="A19" s="7" t="s">
        <v>7</v>
      </c>
      <c r="B19" s="29"/>
      <c r="C19" s="5"/>
      <c r="E19" s="5">
        <v>250</v>
      </c>
      <c r="H19" s="5">
        <v>70000</v>
      </c>
      <c r="L19" s="6"/>
      <c r="N19" s="6"/>
      <c r="Q19" s="5">
        <f>100</f>
        <v>100</v>
      </c>
      <c r="R19" s="6"/>
      <c r="S19" s="6"/>
      <c r="Y19" s="5">
        <v>45359.61</v>
      </c>
      <c r="Z19" s="5">
        <v>45359.61</v>
      </c>
      <c r="AI19" s="5">
        <v>100</v>
      </c>
      <c r="AN19" s="5">
        <f t="shared" si="0"/>
        <v>0</v>
      </c>
      <c r="AO19" s="5">
        <f t="shared" si="1"/>
        <v>45359.61</v>
      </c>
      <c r="AP19" s="5">
        <f t="shared" si="2"/>
        <v>115809.61</v>
      </c>
      <c r="AQ19" s="5">
        <f t="shared" si="3"/>
        <v>-70450</v>
      </c>
    </row>
    <row r="20" spans="1:43" ht="15.75" thickBot="1" x14ac:dyDescent="0.3">
      <c r="A20" s="7" t="s">
        <v>36</v>
      </c>
      <c r="B20" s="8"/>
      <c r="C20" s="25">
        <f>'[1]отчёт за 2019'!AN20</f>
        <v>-2250</v>
      </c>
      <c r="D20" s="28">
        <f>SUM(D21:D24)</f>
        <v>300</v>
      </c>
      <c r="E20" s="26">
        <f>SUM(E21:E24)</f>
        <v>1400</v>
      </c>
      <c r="F20" s="27">
        <f>C20+D20-E20</f>
        <v>-3350</v>
      </c>
      <c r="G20" s="28">
        <f>SUM(G21:G24)</f>
        <v>5200</v>
      </c>
      <c r="H20" s="26">
        <f>SUM(H21:H24)</f>
        <v>1400</v>
      </c>
      <c r="I20" s="27">
        <f>F20+G20-H20</f>
        <v>450</v>
      </c>
      <c r="J20" s="28">
        <f>SUM(J21:J24)</f>
        <v>300</v>
      </c>
      <c r="K20" s="26">
        <f>SUM(K21:K24)</f>
        <v>1400</v>
      </c>
      <c r="L20" s="27">
        <f>I20+J20-K20</f>
        <v>-650</v>
      </c>
      <c r="M20" s="28">
        <f>SUM(M21:M24)</f>
        <v>300</v>
      </c>
      <c r="N20" s="26">
        <f>SUM(N21:N24)</f>
        <v>1400</v>
      </c>
      <c r="O20" s="27">
        <f t="shared" ref="O20:O25" si="4">L20+M20-N20</f>
        <v>-1750</v>
      </c>
      <c r="P20" s="28">
        <f>SUM(P21:P24)</f>
        <v>300</v>
      </c>
      <c r="Q20" s="26">
        <f>SUM(Q21:Q24)</f>
        <v>1400</v>
      </c>
      <c r="R20" s="27">
        <f>O20+P20-Q20</f>
        <v>-2850</v>
      </c>
      <c r="S20" s="28">
        <f>SUM(S21:S24)</f>
        <v>2800</v>
      </c>
      <c r="T20" s="26">
        <f>SUM(T21:T24)</f>
        <v>1400</v>
      </c>
      <c r="U20" s="27">
        <f>R20+S20-T20</f>
        <v>-1450</v>
      </c>
      <c r="V20" s="28">
        <f>SUM(V21:V24)</f>
        <v>300</v>
      </c>
      <c r="W20" s="26">
        <f>SUM(W21:W24)</f>
        <v>1400</v>
      </c>
      <c r="X20" s="27">
        <f>U20+V20-W20</f>
        <v>-2550</v>
      </c>
      <c r="Y20" s="28">
        <f>SUM(Y21:Y24)</f>
        <v>1200</v>
      </c>
      <c r="Z20" s="26">
        <f>SUM(Z21:Z24)</f>
        <v>1400</v>
      </c>
      <c r="AA20" s="27">
        <f>X20+Y20-Z20</f>
        <v>-2750</v>
      </c>
      <c r="AB20" s="28">
        <f>SUM(AB21:AB24)</f>
        <v>300</v>
      </c>
      <c r="AC20" s="26">
        <f>SUM(AC21:AC24)</f>
        <v>1400</v>
      </c>
      <c r="AD20" s="27">
        <f>AA20+AB20-AC20</f>
        <v>-3850</v>
      </c>
      <c r="AE20" s="28">
        <f>SUM(AE21:AE24)</f>
        <v>750</v>
      </c>
      <c r="AF20" s="26">
        <f>SUM(AF21:AF24)</f>
        <v>1400</v>
      </c>
      <c r="AG20" s="27">
        <f>AD20+AE20-AF20</f>
        <v>-4500</v>
      </c>
      <c r="AH20" s="28">
        <f>SUM(AH21:AH24)</f>
        <v>0</v>
      </c>
      <c r="AI20" s="26">
        <f>SUM(AI21:AI24)</f>
        <v>1400</v>
      </c>
      <c r="AJ20" s="27">
        <f>AG20+AH20-AI20</f>
        <v>-5900</v>
      </c>
      <c r="AK20" s="28">
        <f>SUM(AK21:AK24)</f>
        <v>0</v>
      </c>
      <c r="AL20" s="26">
        <f>SUM(AL21:AL24)</f>
        <v>1400</v>
      </c>
      <c r="AM20" s="27">
        <f>AJ20+AK20-AL20</f>
        <v>-7300</v>
      </c>
      <c r="AN20" s="5">
        <f t="shared" ref="AN20" si="5">C20</f>
        <v>-2250</v>
      </c>
      <c r="AO20" s="5">
        <f t="shared" si="1"/>
        <v>11750</v>
      </c>
      <c r="AP20" s="5">
        <f t="shared" si="2"/>
        <v>16800</v>
      </c>
      <c r="AQ20" s="5">
        <f t="shared" si="3"/>
        <v>-7300</v>
      </c>
    </row>
    <row r="21" spans="1:43" ht="15.75" thickBot="1" x14ac:dyDescent="0.3">
      <c r="A21" s="7" t="s">
        <v>26</v>
      </c>
      <c r="B21" s="31"/>
      <c r="C21" s="5">
        <f>'[1]отчёт за 2019'!AN21</f>
        <v>0</v>
      </c>
      <c r="D21" s="21"/>
      <c r="E21" s="19">
        <v>450</v>
      </c>
      <c r="F21" s="20">
        <f t="shared" ref="F21:F24" si="6">C21+D21-E21</f>
        <v>-450</v>
      </c>
      <c r="G21" s="21">
        <v>4900</v>
      </c>
      <c r="H21" s="19">
        <v>450</v>
      </c>
      <c r="I21" s="20">
        <f t="shared" ref="I21:I24" si="7">F21+G21-H21</f>
        <v>4000</v>
      </c>
      <c r="J21" s="21"/>
      <c r="K21" s="19">
        <v>450</v>
      </c>
      <c r="L21" s="20">
        <f t="shared" ref="L21:L24" si="8">I21+J21-K21</f>
        <v>3550</v>
      </c>
      <c r="M21" s="21"/>
      <c r="N21" s="19">
        <v>450</v>
      </c>
      <c r="O21" s="20">
        <f t="shared" si="4"/>
        <v>3100</v>
      </c>
      <c r="P21" s="21"/>
      <c r="Q21" s="19">
        <v>450</v>
      </c>
      <c r="R21" s="20">
        <f t="shared" ref="R21:R22" si="9">O21+P21-Q21</f>
        <v>2650</v>
      </c>
      <c r="S21" s="21"/>
      <c r="T21" s="19">
        <v>450</v>
      </c>
      <c r="U21" s="20">
        <f t="shared" ref="U21:U24" si="10">R21+S21-T21</f>
        <v>2200</v>
      </c>
      <c r="V21" s="21"/>
      <c r="W21" s="19">
        <v>450</v>
      </c>
      <c r="X21" s="20">
        <f t="shared" ref="X21:X24" si="11">U21+V21-W21</f>
        <v>1750</v>
      </c>
      <c r="Y21" s="21"/>
      <c r="Z21" s="19">
        <v>450</v>
      </c>
      <c r="AA21" s="20">
        <f t="shared" ref="AA21:AA24" si="12">X21+Y21-Z21</f>
        <v>1300</v>
      </c>
      <c r="AB21" s="21"/>
      <c r="AC21" s="19">
        <v>450</v>
      </c>
      <c r="AD21" s="20">
        <f t="shared" ref="AD21:AD24" si="13">AA21+AB21-AC21</f>
        <v>850</v>
      </c>
      <c r="AE21" s="21"/>
      <c r="AF21" s="19">
        <v>450</v>
      </c>
      <c r="AG21" s="20">
        <f t="shared" ref="AG21:AG24" si="14">AD21+AE21-AF21</f>
        <v>400</v>
      </c>
      <c r="AH21" s="21"/>
      <c r="AI21" s="19">
        <v>450</v>
      </c>
      <c r="AJ21" s="20">
        <f t="shared" ref="AJ21:AJ24" si="15">AG21+AH21-AI21</f>
        <v>-50</v>
      </c>
      <c r="AK21" s="21"/>
      <c r="AL21" s="19">
        <v>450</v>
      </c>
      <c r="AM21" s="20">
        <f t="shared" ref="AM21:AM24" si="16">AJ21+AK21-AL21</f>
        <v>-500</v>
      </c>
      <c r="AN21" s="5">
        <f t="shared" si="0"/>
        <v>0</v>
      </c>
      <c r="AO21" s="5">
        <f t="shared" si="1"/>
        <v>4900</v>
      </c>
      <c r="AP21" s="5">
        <f t="shared" si="2"/>
        <v>5400</v>
      </c>
      <c r="AQ21" s="5">
        <f t="shared" ref="AQ21:AQ24" si="17">AN21+AO21-AP21</f>
        <v>-500</v>
      </c>
    </row>
    <row r="22" spans="1:43" ht="15.75" thickBot="1" x14ac:dyDescent="0.3">
      <c r="A22" s="7" t="s">
        <v>27</v>
      </c>
      <c r="B22" s="8"/>
      <c r="C22" s="5">
        <f>'[1]отчёт за 2019'!AN22</f>
        <v>-450</v>
      </c>
      <c r="D22" s="21"/>
      <c r="E22" s="19">
        <v>150</v>
      </c>
      <c r="F22" s="20">
        <f t="shared" si="6"/>
        <v>-600</v>
      </c>
      <c r="G22" s="21"/>
      <c r="H22" s="19">
        <v>150</v>
      </c>
      <c r="I22" s="20">
        <f t="shared" si="7"/>
        <v>-750</v>
      </c>
      <c r="J22" s="21"/>
      <c r="K22" s="19">
        <v>150</v>
      </c>
      <c r="L22" s="20">
        <f t="shared" si="8"/>
        <v>-900</v>
      </c>
      <c r="M22" s="21"/>
      <c r="N22" s="19">
        <v>150</v>
      </c>
      <c r="O22" s="20">
        <f t="shared" si="4"/>
        <v>-1050</v>
      </c>
      <c r="P22" s="21"/>
      <c r="Q22" s="19">
        <v>150</v>
      </c>
      <c r="R22" s="20">
        <f t="shared" si="9"/>
        <v>-1200</v>
      </c>
      <c r="S22" s="21"/>
      <c r="T22" s="19">
        <v>150</v>
      </c>
      <c r="U22" s="20">
        <f t="shared" si="10"/>
        <v>-1350</v>
      </c>
      <c r="V22" s="21"/>
      <c r="W22" s="19">
        <v>150</v>
      </c>
      <c r="X22" s="20">
        <f t="shared" si="11"/>
        <v>-1500</v>
      </c>
      <c r="Y22" s="21">
        <f>450+450</f>
        <v>900</v>
      </c>
      <c r="Z22" s="19">
        <v>150</v>
      </c>
      <c r="AA22" s="20">
        <f t="shared" si="12"/>
        <v>-750</v>
      </c>
      <c r="AB22" s="21"/>
      <c r="AC22" s="19">
        <v>150</v>
      </c>
      <c r="AD22" s="20">
        <f t="shared" si="13"/>
        <v>-900</v>
      </c>
      <c r="AE22" s="21">
        <v>450</v>
      </c>
      <c r="AF22" s="19">
        <v>150</v>
      </c>
      <c r="AG22" s="20">
        <f t="shared" si="14"/>
        <v>-600</v>
      </c>
      <c r="AH22" s="21"/>
      <c r="AI22" s="19">
        <v>150</v>
      </c>
      <c r="AJ22" s="20">
        <f t="shared" si="15"/>
        <v>-750</v>
      </c>
      <c r="AK22" s="21"/>
      <c r="AL22" s="19">
        <v>150</v>
      </c>
      <c r="AM22" s="20">
        <f t="shared" si="16"/>
        <v>-900</v>
      </c>
      <c r="AN22" s="5">
        <f t="shared" si="0"/>
        <v>-450</v>
      </c>
      <c r="AO22" s="5">
        <f t="shared" si="1"/>
        <v>1350</v>
      </c>
      <c r="AP22" s="5">
        <f t="shared" si="2"/>
        <v>1800</v>
      </c>
      <c r="AQ22" s="5">
        <f t="shared" si="17"/>
        <v>-900</v>
      </c>
    </row>
    <row r="23" spans="1:43" ht="15.75" thickBot="1" x14ac:dyDescent="0.3">
      <c r="A23" s="7" t="s">
        <v>28</v>
      </c>
      <c r="B23" s="8"/>
      <c r="C23" s="5">
        <f>'[1]отчёт за 2019'!AN23</f>
        <v>-600</v>
      </c>
      <c r="D23" s="21">
        <v>300</v>
      </c>
      <c r="E23" s="19">
        <v>300</v>
      </c>
      <c r="F23" s="20">
        <f t="shared" si="6"/>
        <v>-600</v>
      </c>
      <c r="G23" s="21">
        <v>300</v>
      </c>
      <c r="H23" s="19">
        <v>300</v>
      </c>
      <c r="I23" s="20">
        <f t="shared" si="7"/>
        <v>-600</v>
      </c>
      <c r="J23" s="21">
        <v>300</v>
      </c>
      <c r="K23" s="19">
        <v>300</v>
      </c>
      <c r="L23" s="20">
        <f t="shared" si="8"/>
        <v>-600</v>
      </c>
      <c r="M23" s="21">
        <v>300</v>
      </c>
      <c r="N23" s="19">
        <v>300</v>
      </c>
      <c r="O23" s="20">
        <f t="shared" si="4"/>
        <v>-600</v>
      </c>
      <c r="P23" s="21">
        <v>300</v>
      </c>
      <c r="Q23" s="19">
        <v>300</v>
      </c>
      <c r="R23" s="20">
        <f>O23+P23-Q23</f>
        <v>-600</v>
      </c>
      <c r="S23" s="21">
        <v>300</v>
      </c>
      <c r="T23" s="19">
        <v>300</v>
      </c>
      <c r="U23" s="20">
        <f t="shared" si="10"/>
        <v>-600</v>
      </c>
      <c r="V23" s="21">
        <v>300</v>
      </c>
      <c r="W23" s="19">
        <v>300</v>
      </c>
      <c r="X23" s="20">
        <f t="shared" si="11"/>
        <v>-600</v>
      </c>
      <c r="Y23" s="21">
        <v>300</v>
      </c>
      <c r="Z23" s="19">
        <v>300</v>
      </c>
      <c r="AA23" s="20">
        <f t="shared" si="12"/>
        <v>-600</v>
      </c>
      <c r="AB23" s="21">
        <v>300</v>
      </c>
      <c r="AC23" s="19">
        <v>300</v>
      </c>
      <c r="AD23" s="20">
        <f t="shared" si="13"/>
        <v>-600</v>
      </c>
      <c r="AE23" s="21">
        <v>300</v>
      </c>
      <c r="AF23" s="19">
        <v>300</v>
      </c>
      <c r="AG23" s="20">
        <f t="shared" si="14"/>
        <v>-600</v>
      </c>
      <c r="AH23" s="21"/>
      <c r="AI23" s="19">
        <v>300</v>
      </c>
      <c r="AJ23" s="20">
        <f t="shared" si="15"/>
        <v>-900</v>
      </c>
      <c r="AK23" s="21"/>
      <c r="AL23" s="19">
        <v>300</v>
      </c>
      <c r="AM23" s="20">
        <f t="shared" si="16"/>
        <v>-1200</v>
      </c>
      <c r="AN23" s="5">
        <f t="shared" si="0"/>
        <v>-600</v>
      </c>
      <c r="AO23" s="5">
        <f t="shared" si="1"/>
        <v>3000</v>
      </c>
      <c r="AP23" s="5">
        <f t="shared" si="2"/>
        <v>3600</v>
      </c>
      <c r="AQ23" s="5">
        <f t="shared" si="17"/>
        <v>-1200</v>
      </c>
    </row>
    <row r="24" spans="1:43" ht="15.75" thickBot="1" x14ac:dyDescent="0.3">
      <c r="A24" s="7" t="s">
        <v>29</v>
      </c>
      <c r="B24" s="29"/>
      <c r="C24" s="5">
        <f>'[1]отчёт за 2019'!AN24</f>
        <v>-1200</v>
      </c>
      <c r="D24" s="21"/>
      <c r="E24" s="19">
        <v>500</v>
      </c>
      <c r="F24" s="20">
        <f t="shared" si="6"/>
        <v>-1700</v>
      </c>
      <c r="G24" s="21"/>
      <c r="H24" s="19">
        <v>500</v>
      </c>
      <c r="I24" s="20">
        <f t="shared" si="7"/>
        <v>-2200</v>
      </c>
      <c r="J24" s="21"/>
      <c r="K24" s="19">
        <v>500</v>
      </c>
      <c r="L24" s="20">
        <f t="shared" si="8"/>
        <v>-2700</v>
      </c>
      <c r="M24" s="21"/>
      <c r="N24" s="19">
        <v>500</v>
      </c>
      <c r="O24" s="20">
        <f t="shared" si="4"/>
        <v>-3200</v>
      </c>
      <c r="P24" s="21"/>
      <c r="Q24" s="19">
        <v>500</v>
      </c>
      <c r="R24" s="20">
        <f>O24+P24-Q24</f>
        <v>-3700</v>
      </c>
      <c r="S24" s="21">
        <v>2500</v>
      </c>
      <c r="T24" s="19">
        <v>500</v>
      </c>
      <c r="U24" s="20">
        <f t="shared" si="10"/>
        <v>-1700</v>
      </c>
      <c r="V24" s="21"/>
      <c r="W24" s="19">
        <v>500</v>
      </c>
      <c r="X24" s="20">
        <f t="shared" si="11"/>
        <v>-2200</v>
      </c>
      <c r="Y24" s="21"/>
      <c r="Z24" s="19">
        <v>500</v>
      </c>
      <c r="AA24" s="20">
        <f t="shared" si="12"/>
        <v>-2700</v>
      </c>
      <c r="AB24" s="21"/>
      <c r="AC24" s="19">
        <v>500</v>
      </c>
      <c r="AD24" s="20">
        <f t="shared" si="13"/>
        <v>-3200</v>
      </c>
      <c r="AE24" s="21"/>
      <c r="AF24" s="19">
        <v>500</v>
      </c>
      <c r="AG24" s="20">
        <f t="shared" si="14"/>
        <v>-3700</v>
      </c>
      <c r="AH24" s="21"/>
      <c r="AI24" s="19">
        <v>500</v>
      </c>
      <c r="AJ24" s="20">
        <f t="shared" si="15"/>
        <v>-4200</v>
      </c>
      <c r="AK24" s="21"/>
      <c r="AL24" s="19">
        <v>500</v>
      </c>
      <c r="AM24" s="20">
        <f t="shared" si="16"/>
        <v>-4700</v>
      </c>
      <c r="AN24" s="5">
        <f t="shared" si="0"/>
        <v>-1200</v>
      </c>
      <c r="AO24" s="5">
        <f t="shared" si="1"/>
        <v>2500</v>
      </c>
      <c r="AP24" s="5">
        <f t="shared" si="2"/>
        <v>6000</v>
      </c>
      <c r="AQ24" s="5">
        <f t="shared" si="17"/>
        <v>-4700</v>
      </c>
    </row>
    <row r="25" spans="1:43" ht="15.75" thickBot="1" x14ac:dyDescent="0.3">
      <c r="A25" s="7" t="s">
        <v>90</v>
      </c>
      <c r="B25" s="29"/>
      <c r="C25" s="5"/>
      <c r="D25" s="21"/>
      <c r="E25" s="19"/>
      <c r="F25" s="20"/>
      <c r="G25" s="21">
        <f>10064+34548</f>
        <v>44612</v>
      </c>
      <c r="H25" s="19"/>
      <c r="I25" s="20"/>
      <c r="J25" s="21"/>
      <c r="K25" s="19"/>
      <c r="L25" s="20"/>
      <c r="M25" s="21">
        <v>18000</v>
      </c>
      <c r="N25" s="21">
        <v>18000</v>
      </c>
      <c r="O25" s="20">
        <f t="shared" si="4"/>
        <v>0</v>
      </c>
      <c r="P25" s="21">
        <v>10827</v>
      </c>
      <c r="Q25" s="21">
        <v>10827</v>
      </c>
      <c r="R25" s="20">
        <f>O25+P25-Q25</f>
        <v>0</v>
      </c>
      <c r="S25" s="21">
        <v>10827</v>
      </c>
      <c r="T25" s="21">
        <v>10827</v>
      </c>
      <c r="U25" s="20">
        <f>R25+S25-T25</f>
        <v>0</v>
      </c>
      <c r="V25" s="21">
        <v>10827</v>
      </c>
      <c r="W25" s="21">
        <v>10827</v>
      </c>
      <c r="X25" s="20">
        <f>U25+V25-W25</f>
        <v>0</v>
      </c>
      <c r="Y25" s="21">
        <v>10827</v>
      </c>
      <c r="Z25" s="21">
        <v>10827</v>
      </c>
      <c r="AA25" s="20">
        <f>X25+Y25-Z25</f>
        <v>0</v>
      </c>
      <c r="AB25" s="21">
        <f>10827+1200</f>
        <v>12027</v>
      </c>
      <c r="AC25" s="21">
        <f>10827+1200</f>
        <v>12027</v>
      </c>
      <c r="AD25" s="20">
        <f>AA25+AB25-AC25</f>
        <v>0</v>
      </c>
      <c r="AE25" s="21">
        <f>10827+1500</f>
        <v>12327</v>
      </c>
      <c r="AF25" s="21">
        <f>10827+1500</f>
        <v>12327</v>
      </c>
      <c r="AG25" s="20">
        <f>AD25+AE25-AF25</f>
        <v>0</v>
      </c>
      <c r="AH25" s="21">
        <v>10827</v>
      </c>
      <c r="AI25" s="21">
        <v>10827</v>
      </c>
      <c r="AJ25" s="20">
        <f>AG25+AH25-AI25</f>
        <v>0</v>
      </c>
      <c r="AK25" s="21">
        <v>10827</v>
      </c>
      <c r="AL25" s="21">
        <v>10827</v>
      </c>
      <c r="AM25" s="20">
        <f>AJ25+AK25-AL25</f>
        <v>0</v>
      </c>
      <c r="AN25" s="5">
        <f t="shared" ref="AN25:AN26" si="18">C25</f>
        <v>0</v>
      </c>
      <c r="AO25" s="5">
        <f t="shared" si="1"/>
        <v>151928</v>
      </c>
      <c r="AP25" s="5">
        <f t="shared" si="2"/>
        <v>107316</v>
      </c>
      <c r="AQ25" s="5">
        <f t="shared" ref="AQ25:AQ26" si="19">AN25+AO25-AP25</f>
        <v>44612</v>
      </c>
    </row>
    <row r="26" spans="1:43" ht="15.75" thickBot="1" x14ac:dyDescent="0.3">
      <c r="A26" s="9" t="s">
        <v>8</v>
      </c>
      <c r="B26" s="30"/>
      <c r="C26" s="28">
        <f>SUM(C27:C36)</f>
        <v>-133106.43599999996</v>
      </c>
      <c r="D26" s="28">
        <f t="shared" ref="D26" si="20">SUM(D27:D36)</f>
        <v>120576.07052000001</v>
      </c>
      <c r="E26" s="26">
        <f t="shared" ref="E26" si="21">SUM(E27:E36)</f>
        <v>98160.020000000019</v>
      </c>
      <c r="F26" s="27">
        <f>SUM(F27:F36)</f>
        <v>-110690.38547999995</v>
      </c>
      <c r="G26" s="28">
        <f>SUM(G27:G36)</f>
        <v>132721.8272</v>
      </c>
      <c r="H26" s="26">
        <f t="shared" ref="H26" si="22">SUM(H27:H36)</f>
        <v>133782.97999999998</v>
      </c>
      <c r="I26" s="27">
        <f t="shared" ref="I26" si="23">SUM(I27:I36)</f>
        <v>-111751.53827999995</v>
      </c>
      <c r="J26" s="28">
        <f>SUM(J27:J36)</f>
        <v>112420.70187999999</v>
      </c>
      <c r="K26" s="26">
        <f t="shared" ref="K26" si="24">SUM(K27:K36)</f>
        <v>139034.01999999999</v>
      </c>
      <c r="L26" s="27">
        <f t="shared" ref="L26" si="25">SUM(L27:L36)</f>
        <v>-138364.85639999993</v>
      </c>
      <c r="M26" s="26">
        <f>SUM(M27:M36)</f>
        <v>188272.80187999998</v>
      </c>
      <c r="N26" s="27">
        <f t="shared" ref="N26" si="26">SUM(N27:N36)</f>
        <v>138333.61999999997</v>
      </c>
      <c r="O26" s="28">
        <f t="shared" ref="O26" si="27">SUM(O27:O36)</f>
        <v>-88425.674519999942</v>
      </c>
      <c r="P26" s="26">
        <f>SUM(P27:P36)</f>
        <v>109589.89799999999</v>
      </c>
      <c r="Q26" s="27">
        <f t="shared" ref="Q26" si="28">SUM(Q27:Q36)</f>
        <v>118543.14000000001</v>
      </c>
      <c r="R26" s="28">
        <f t="shared" ref="R26" si="29">SUM(R27:R36)</f>
        <v>-97378.916519999926</v>
      </c>
      <c r="S26" s="26">
        <f t="shared" ref="S26" si="30">SUM(S27:S36)</f>
        <v>99254.97</v>
      </c>
      <c r="T26" s="27">
        <f t="shared" ref="T26" si="31">SUM(T27:T36)</f>
        <v>115791.16</v>
      </c>
      <c r="U26" s="28">
        <f>SUM(U27:U36)</f>
        <v>-113915.10651999994</v>
      </c>
      <c r="V26" s="26">
        <f t="shared" ref="V26" si="32">SUM(V27:V36)</f>
        <v>231390.23</v>
      </c>
      <c r="W26" s="27">
        <f t="shared" ref="W26" si="33">SUM(W27:W36)</f>
        <v>213869.68</v>
      </c>
      <c r="X26" s="28">
        <f t="shared" ref="X26" si="34">SUM(X27:X36)</f>
        <v>-96394.556519999926</v>
      </c>
      <c r="Y26" s="26">
        <f t="shared" ref="Y26" si="35">SUM(Y27:Y36)</f>
        <v>355284.74799999996</v>
      </c>
      <c r="Z26" s="27">
        <f t="shared" ref="Z26" si="36">SUM(Z27:Z36)</f>
        <v>211109.68999999997</v>
      </c>
      <c r="AA26" s="28">
        <f t="shared" ref="AA26" si="37">SUM(AA27:AA36)</f>
        <v>47780.501480000094</v>
      </c>
      <c r="AB26" s="26">
        <f t="shared" ref="AB26" si="38">SUM(AB27:AB36)</f>
        <v>141298.29199999999</v>
      </c>
      <c r="AC26" s="27">
        <f t="shared" ref="AC26" si="39">SUM(AC27:AC36)</f>
        <v>95589.97</v>
      </c>
      <c r="AD26" s="28">
        <f t="shared" ref="AD26" si="40">SUM(AD27:AD36)</f>
        <v>93488.823480000094</v>
      </c>
      <c r="AE26" s="26">
        <f t="shared" ref="AE26" si="41">SUM(AE27:AE36)</f>
        <v>97714.585999999996</v>
      </c>
      <c r="AF26" s="27">
        <f t="shared" ref="AF26" si="42">SUM(AF27:AF36)</f>
        <v>87149.94</v>
      </c>
      <c r="AG26" s="28">
        <f t="shared" ref="AG26" si="43">SUM(AG27:AG36)</f>
        <v>104053.46948000009</v>
      </c>
      <c r="AH26" s="26">
        <f t="shared" ref="AH26" si="44">SUM(AH27:AH36)</f>
        <v>101639.818</v>
      </c>
      <c r="AI26" s="27">
        <f t="shared" ref="AI26" si="45">SUM(AI27:AI36)</f>
        <v>135403.20000000001</v>
      </c>
      <c r="AJ26" s="28">
        <f t="shared" ref="AJ26" si="46">SUM(AJ27:AJ36)</f>
        <v>70290.087480000118</v>
      </c>
      <c r="AK26" s="26">
        <f t="shared" ref="AK26" si="47">SUM(AK27:AK36)</f>
        <v>48376.688000000002</v>
      </c>
      <c r="AL26" s="27">
        <f t="shared" ref="AL26" si="48">SUM(AL27:AL36)</f>
        <v>124838.87</v>
      </c>
      <c r="AM26" s="28">
        <f t="shared" ref="AM26" si="49">SUM(AM27:AM36)</f>
        <v>-6172.0945199998969</v>
      </c>
      <c r="AN26" s="5">
        <f t="shared" si="18"/>
        <v>-133106.43599999996</v>
      </c>
      <c r="AO26" s="5">
        <f t="shared" si="1"/>
        <v>1738540.6314799997</v>
      </c>
      <c r="AP26" s="5">
        <f t="shared" si="2"/>
        <v>1611606.29</v>
      </c>
      <c r="AQ26" s="5">
        <f t="shared" si="19"/>
        <v>-6172.0945200002752</v>
      </c>
    </row>
    <row r="27" spans="1:43" ht="15.75" thickBot="1" x14ac:dyDescent="0.3">
      <c r="A27" s="7" t="s">
        <v>43</v>
      </c>
      <c r="B27" s="31"/>
      <c r="C27" s="5">
        <f>'[1]отчёт за 2019'!AN26</f>
        <v>598.65600000000177</v>
      </c>
      <c r="D27" s="21">
        <f>0.26*$E$5</f>
        <v>1356.8880000000001</v>
      </c>
      <c r="E27" s="19">
        <v>1307</v>
      </c>
      <c r="F27" s="20">
        <f>C27+D27-E27</f>
        <v>648.54400000000192</v>
      </c>
      <c r="G27" s="21">
        <f>0.26*$E$5</f>
        <v>1356.8880000000001</v>
      </c>
      <c r="H27" s="19">
        <v>1307</v>
      </c>
      <c r="I27" s="20">
        <f>F27+G27-H27</f>
        <v>698.43200000000206</v>
      </c>
      <c r="J27" s="21">
        <f>0.26*$E$5</f>
        <v>1356.8880000000001</v>
      </c>
      <c r="K27" s="19">
        <v>1307</v>
      </c>
      <c r="L27" s="20">
        <f>I27+J27-K27</f>
        <v>748.32000000000244</v>
      </c>
      <c r="M27" s="21">
        <f>0.26*$E$5</f>
        <v>1356.8880000000001</v>
      </c>
      <c r="N27" s="19">
        <v>1307</v>
      </c>
      <c r="O27" s="20">
        <f t="shared" ref="O27:O38" si="50">L27+M27-N27</f>
        <v>798.20800000000236</v>
      </c>
      <c r="P27" s="21">
        <f>0.26*$E$5</f>
        <v>1356.8880000000001</v>
      </c>
      <c r="Q27" s="19">
        <v>1307</v>
      </c>
      <c r="R27" s="20">
        <f>O27+P27-Q27</f>
        <v>848.09600000000228</v>
      </c>
      <c r="S27" s="21">
        <f>0.26*$E$5</f>
        <v>1356.8880000000001</v>
      </c>
      <c r="T27" s="19">
        <v>1307</v>
      </c>
      <c r="U27" s="20">
        <f>R27+S27-T27</f>
        <v>897.9840000000022</v>
      </c>
      <c r="V27" s="21">
        <f>0.26*$E$5</f>
        <v>1356.8880000000001</v>
      </c>
      <c r="W27" s="19">
        <v>1307</v>
      </c>
      <c r="X27" s="20">
        <f>U27+V27-W27</f>
        <v>947.87200000000212</v>
      </c>
      <c r="Y27" s="21">
        <f>0.26*$E$5</f>
        <v>1356.8880000000001</v>
      </c>
      <c r="Z27" s="19">
        <v>1307</v>
      </c>
      <c r="AA27" s="20">
        <f>X27+Y27-Z27</f>
        <v>997.76000000000204</v>
      </c>
      <c r="AB27" s="21">
        <f>0.26*$E$5</f>
        <v>1356.8880000000001</v>
      </c>
      <c r="AC27" s="19">
        <v>1307</v>
      </c>
      <c r="AD27" s="20">
        <f>AA27+AB27-AC27</f>
        <v>1047.648000000002</v>
      </c>
      <c r="AE27" s="21">
        <f>0.26*$E$5</f>
        <v>1356.8880000000001</v>
      </c>
      <c r="AF27" s="19">
        <v>1307</v>
      </c>
      <c r="AG27" s="20">
        <f>AD27+AE27-AF27</f>
        <v>1097.5360000000019</v>
      </c>
      <c r="AH27" s="21">
        <f>0.26*$E$5</f>
        <v>1356.8880000000001</v>
      </c>
      <c r="AI27" s="19">
        <v>1307</v>
      </c>
      <c r="AJ27" s="20">
        <f>AG27+AH27-AI27</f>
        <v>1147.4240000000018</v>
      </c>
      <c r="AK27" s="21">
        <f>0.26*$E$5</f>
        <v>1356.8880000000001</v>
      </c>
      <c r="AL27" s="19">
        <v>1307</v>
      </c>
      <c r="AM27" s="20">
        <f>AJ27+AK27-AL27</f>
        <v>1197.3120000000017</v>
      </c>
      <c r="AN27" s="5">
        <f t="shared" ref="AN27:AN36" si="51">C27</f>
        <v>598.65600000000177</v>
      </c>
      <c r="AO27" s="5">
        <f t="shared" ref="AO27:AO38" si="52">SUMIF($C$10:$AM$10,"ДОХОД",$C27:$AM27)</f>
        <v>16282.656000000004</v>
      </c>
      <c r="AP27" s="5">
        <f t="shared" ref="AP27:AP38" si="53">SUMIF($C$10:$AM$10,"РАСХОД",$C27:$AM27)</f>
        <v>15684</v>
      </c>
      <c r="AQ27" s="5">
        <f t="shared" ref="AQ27:AQ36" si="54">AN27+AO27-AP27</f>
        <v>1197.3120000000054</v>
      </c>
    </row>
    <row r="28" spans="1:43" ht="15.75" thickBot="1" x14ac:dyDescent="0.3">
      <c r="A28" s="7" t="s">
        <v>44</v>
      </c>
      <c r="B28" s="8"/>
      <c r="C28" s="5">
        <f>'[1]отчёт за 2019'!AN27</f>
        <v>-2614</v>
      </c>
      <c r="D28" s="21">
        <v>1307</v>
      </c>
      <c r="E28" s="19">
        <v>1307</v>
      </c>
      <c r="F28" s="20">
        <f t="shared" ref="F28:F38" si="55">C28+D28-E28</f>
        <v>-2614</v>
      </c>
      <c r="G28" s="21">
        <v>1307</v>
      </c>
      <c r="H28" s="19">
        <v>1307</v>
      </c>
      <c r="I28" s="20">
        <f t="shared" ref="I28:I38" si="56">F28+G28-H28</f>
        <v>-2614</v>
      </c>
      <c r="J28" s="21"/>
      <c r="K28" s="19">
        <v>1307</v>
      </c>
      <c r="L28" s="20">
        <f t="shared" ref="L28:L36" si="57">I28+J28-K28</f>
        <v>-3921</v>
      </c>
      <c r="M28" s="21">
        <f>1307+1307</f>
        <v>2614</v>
      </c>
      <c r="N28" s="19">
        <v>1307</v>
      </c>
      <c r="O28" s="20">
        <f t="shared" si="50"/>
        <v>-2614</v>
      </c>
      <c r="P28" s="21">
        <v>1307</v>
      </c>
      <c r="Q28" s="19">
        <v>1307</v>
      </c>
      <c r="R28" s="20">
        <f t="shared" ref="R28:R38" si="58">O28+P28-Q28</f>
        <v>-2614</v>
      </c>
      <c r="S28" s="21">
        <v>1307</v>
      </c>
      <c r="T28" s="19">
        <v>1307</v>
      </c>
      <c r="U28" s="20">
        <f t="shared" ref="U28:U38" si="59">R28+S28-T28</f>
        <v>-2614</v>
      </c>
      <c r="V28" s="21">
        <f>1307</f>
        <v>1307</v>
      </c>
      <c r="W28" s="19">
        <f>1307+759</f>
        <v>2066</v>
      </c>
      <c r="X28" s="20">
        <f t="shared" ref="X28:X38" si="60">U28+V28-W28</f>
        <v>-3373</v>
      </c>
      <c r="Y28" s="21">
        <v>1307</v>
      </c>
      <c r="Z28" s="19">
        <v>1307</v>
      </c>
      <c r="AA28" s="20">
        <f t="shared" ref="AA28:AA38" si="61">X28+Y28-Z28</f>
        <v>-3373</v>
      </c>
      <c r="AB28" s="21">
        <v>1307</v>
      </c>
      <c r="AC28" s="19">
        <v>1307</v>
      </c>
      <c r="AD28" s="20">
        <f t="shared" ref="AD28:AD38" si="62">AA28+AB28-AC28</f>
        <v>-3373</v>
      </c>
      <c r="AE28" s="21">
        <v>1307</v>
      </c>
      <c r="AF28" s="19">
        <v>1307</v>
      </c>
      <c r="AG28" s="20">
        <f t="shared" ref="AG28:AG38" si="63">AD28+AE28-AF28</f>
        <v>-3373</v>
      </c>
      <c r="AH28" s="21">
        <v>1307</v>
      </c>
      <c r="AI28" s="19">
        <v>1307</v>
      </c>
      <c r="AJ28" s="20">
        <f t="shared" ref="AJ28:AJ38" si="64">AG28+AH28-AI28</f>
        <v>-3373</v>
      </c>
      <c r="AK28" s="21">
        <v>1307</v>
      </c>
      <c r="AL28" s="19">
        <v>1307</v>
      </c>
      <c r="AM28" s="20">
        <f t="shared" ref="AM28:AM38" si="65">AJ28+AK28-AL28</f>
        <v>-3373</v>
      </c>
      <c r="AN28" s="5">
        <f t="shared" si="51"/>
        <v>-2614</v>
      </c>
      <c r="AO28" s="5">
        <f t="shared" si="52"/>
        <v>15684</v>
      </c>
      <c r="AP28" s="5">
        <f t="shared" si="53"/>
        <v>16443</v>
      </c>
      <c r="AQ28" s="5">
        <f t="shared" si="54"/>
        <v>-3373</v>
      </c>
    </row>
    <row r="29" spans="1:43" ht="15.75" thickBot="1" x14ac:dyDescent="0.3">
      <c r="A29" s="7" t="s">
        <v>31</v>
      </c>
      <c r="B29" s="8"/>
      <c r="C29" s="5">
        <f>'[1]отчёт за 2019'!AN28</f>
        <v>-4502.9999999999709</v>
      </c>
      <c r="D29" s="21">
        <f>$E$5*6+36*400</f>
        <v>45712.800000000003</v>
      </c>
      <c r="E29" s="19">
        <v>46615</v>
      </c>
      <c r="F29" s="20">
        <f t="shared" si="55"/>
        <v>-5405.199999999968</v>
      </c>
      <c r="G29" s="21">
        <f>$E$5*6+36*400</f>
        <v>45712.800000000003</v>
      </c>
      <c r="H29" s="19">
        <v>46615</v>
      </c>
      <c r="I29" s="20">
        <f t="shared" si="56"/>
        <v>-6307.3999999999651</v>
      </c>
      <c r="J29" s="21">
        <f>$E$5*6+36*400</f>
        <v>45712.800000000003</v>
      </c>
      <c r="K29" s="19">
        <v>46615</v>
      </c>
      <c r="L29" s="20">
        <f t="shared" si="57"/>
        <v>-7209.5999999999622</v>
      </c>
      <c r="M29" s="21">
        <f>$E$5*6+36*400</f>
        <v>45712.800000000003</v>
      </c>
      <c r="N29" s="19">
        <v>46615</v>
      </c>
      <c r="O29" s="20">
        <f t="shared" si="50"/>
        <v>-8111.7999999999593</v>
      </c>
      <c r="P29" s="21">
        <f>$E$5*6+36*400</f>
        <v>45712.800000000003</v>
      </c>
      <c r="Q29" s="19">
        <v>35000</v>
      </c>
      <c r="R29" s="20">
        <f t="shared" si="58"/>
        <v>2601.0000000000437</v>
      </c>
      <c r="S29" s="21">
        <f>$E$5*6+36*400</f>
        <v>45712.800000000003</v>
      </c>
      <c r="T29" s="19">
        <v>35000</v>
      </c>
      <c r="U29" s="20">
        <f t="shared" si="59"/>
        <v>13313.800000000047</v>
      </c>
      <c r="V29" s="21">
        <f>$E$5*6+36*400</f>
        <v>45712.800000000003</v>
      </c>
      <c r="W29" s="19">
        <v>35000</v>
      </c>
      <c r="X29" s="20">
        <f t="shared" si="60"/>
        <v>24026.600000000049</v>
      </c>
      <c r="Y29" s="21">
        <f>$E$5*6+36*400</f>
        <v>45712.800000000003</v>
      </c>
      <c r="Z29" s="19">
        <v>35000</v>
      </c>
      <c r="AA29" s="20">
        <f t="shared" si="61"/>
        <v>34739.400000000052</v>
      </c>
      <c r="AB29" s="21">
        <f>$E$5*6+36*400</f>
        <v>45712.800000000003</v>
      </c>
      <c r="AC29" s="19">
        <v>35000</v>
      </c>
      <c r="AD29" s="20">
        <f t="shared" si="62"/>
        <v>45452.200000000055</v>
      </c>
      <c r="AE29" s="21">
        <f>$E$5*6+36*400</f>
        <v>45712.800000000003</v>
      </c>
      <c r="AF29" s="19">
        <v>35000</v>
      </c>
      <c r="AG29" s="20">
        <f t="shared" si="63"/>
        <v>56165.000000000058</v>
      </c>
      <c r="AH29" s="21">
        <f>$E$5*6+36*400</f>
        <v>45712.800000000003</v>
      </c>
      <c r="AI29" s="19">
        <v>35000</v>
      </c>
      <c r="AJ29" s="20">
        <f t="shared" si="64"/>
        <v>66877.800000000061</v>
      </c>
      <c r="AK29" s="21">
        <f>$E$5*6+36*400</f>
        <v>45712.800000000003</v>
      </c>
      <c r="AL29" s="19">
        <v>35000</v>
      </c>
      <c r="AM29" s="20">
        <f t="shared" si="65"/>
        <v>77590.600000000064</v>
      </c>
      <c r="AN29" s="5">
        <f t="shared" si="51"/>
        <v>-4502.9999999999709</v>
      </c>
      <c r="AO29" s="5">
        <f t="shared" si="52"/>
        <v>548553.6</v>
      </c>
      <c r="AP29" s="5">
        <f t="shared" si="53"/>
        <v>466460</v>
      </c>
      <c r="AQ29" s="5">
        <f t="shared" si="54"/>
        <v>77590.599999999977</v>
      </c>
    </row>
    <row r="30" spans="1:43" ht="15.75" thickBot="1" x14ac:dyDescent="0.3">
      <c r="A30" s="7" t="s">
        <v>37</v>
      </c>
      <c r="B30" s="8"/>
      <c r="C30" s="5">
        <f>'[1]отчёт за 2019'!AN29</f>
        <v>-97891.290000000008</v>
      </c>
      <c r="D30" s="21">
        <v>49105.29</v>
      </c>
      <c r="E30" s="19">
        <f>46615</f>
        <v>46615</v>
      </c>
      <c r="F30" s="20">
        <f t="shared" si="55"/>
        <v>-95401</v>
      </c>
      <c r="G30" s="21">
        <f>49105.29</f>
        <v>49105.29</v>
      </c>
      <c r="H30" s="19">
        <f>46615</f>
        <v>46615</v>
      </c>
      <c r="I30" s="20">
        <f t="shared" si="56"/>
        <v>-92910.709999999992</v>
      </c>
      <c r="J30" s="21">
        <v>46615</v>
      </c>
      <c r="K30" s="19">
        <v>46615</v>
      </c>
      <c r="L30" s="20">
        <f t="shared" si="57"/>
        <v>-92910.709999999992</v>
      </c>
      <c r="M30" s="21">
        <v>46615</v>
      </c>
      <c r="N30" s="19">
        <v>46615</v>
      </c>
      <c r="O30" s="20">
        <f t="shared" si="50"/>
        <v>-92910.709999999992</v>
      </c>
      <c r="P30" s="21">
        <v>46615</v>
      </c>
      <c r="Q30" s="19">
        <v>35000</v>
      </c>
      <c r="R30" s="20">
        <f t="shared" si="58"/>
        <v>-81295.709999999992</v>
      </c>
      <c r="S30" s="21">
        <v>35000</v>
      </c>
      <c r="T30" s="19">
        <v>35000</v>
      </c>
      <c r="U30" s="20">
        <f t="shared" si="59"/>
        <v>-81295.709999999992</v>
      </c>
      <c r="V30" s="21">
        <v>35000</v>
      </c>
      <c r="W30" s="19">
        <v>35000</v>
      </c>
      <c r="X30" s="20">
        <f t="shared" si="60"/>
        <v>-81295.709999999992</v>
      </c>
      <c r="Y30" s="21">
        <v>35000</v>
      </c>
      <c r="Z30" s="19">
        <v>35000</v>
      </c>
      <c r="AA30" s="20">
        <f t="shared" si="61"/>
        <v>-81295.709999999992</v>
      </c>
      <c r="AB30" s="21">
        <v>35000</v>
      </c>
      <c r="AC30" s="19">
        <v>35000</v>
      </c>
      <c r="AD30" s="20">
        <f t="shared" si="62"/>
        <v>-81295.709999999992</v>
      </c>
      <c r="AE30" s="21">
        <v>35000</v>
      </c>
      <c r="AF30" s="19">
        <v>35000</v>
      </c>
      <c r="AG30" s="20">
        <f t="shared" si="63"/>
        <v>-81295.709999999992</v>
      </c>
      <c r="AH30" s="21">
        <v>35000</v>
      </c>
      <c r="AI30" s="19">
        <v>35000</v>
      </c>
      <c r="AJ30" s="20">
        <f t="shared" si="64"/>
        <v>-81295.709999999992</v>
      </c>
      <c r="AK30" s="21"/>
      <c r="AL30" s="19">
        <v>35000</v>
      </c>
      <c r="AM30" s="20">
        <f t="shared" si="65"/>
        <v>-116295.70999999999</v>
      </c>
      <c r="AN30" s="5">
        <f t="shared" si="51"/>
        <v>-97891.290000000008</v>
      </c>
      <c r="AO30" s="5">
        <f t="shared" si="52"/>
        <v>448055.58</v>
      </c>
      <c r="AP30" s="5">
        <f t="shared" si="53"/>
        <v>466460</v>
      </c>
      <c r="AQ30" s="5">
        <f t="shared" si="54"/>
        <v>-116295.70999999996</v>
      </c>
    </row>
    <row r="31" spans="1:43" ht="15.75" thickBot="1" x14ac:dyDescent="0.3">
      <c r="A31" s="7" t="s">
        <v>88</v>
      </c>
      <c r="B31" s="8"/>
      <c r="C31" s="5">
        <f>'[1]отчёт за 2019'!AN30</f>
        <v>-9314.8000000000138</v>
      </c>
      <c r="D31" s="21"/>
      <c r="E31" s="19"/>
      <c r="F31" s="20">
        <f t="shared" si="55"/>
        <v>-9314.8000000000138</v>
      </c>
      <c r="G31" s="21"/>
      <c r="H31" s="19">
        <f>E32</f>
        <v>0</v>
      </c>
      <c r="I31" s="20">
        <f t="shared" si="56"/>
        <v>-9314.8000000000138</v>
      </c>
      <c r="J31" s="21"/>
      <c r="K31" s="19">
        <f>H32</f>
        <v>8200</v>
      </c>
      <c r="L31" s="20">
        <f t="shared" si="57"/>
        <v>-17514.800000000014</v>
      </c>
      <c r="M31" s="21"/>
      <c r="N31" s="19">
        <f>K32</f>
        <v>0</v>
      </c>
      <c r="O31" s="20">
        <f t="shared" si="50"/>
        <v>-17514.800000000014</v>
      </c>
      <c r="P31" s="21"/>
      <c r="Q31" s="19">
        <f>N32</f>
        <v>22873.84</v>
      </c>
      <c r="R31" s="20">
        <f t="shared" si="58"/>
        <v>-40388.640000000014</v>
      </c>
      <c r="S31" s="21"/>
      <c r="T31" s="19">
        <f>Q32</f>
        <v>0</v>
      </c>
      <c r="U31" s="20">
        <f t="shared" si="59"/>
        <v>-40388.640000000014</v>
      </c>
      <c r="V31" s="21"/>
      <c r="W31" s="19">
        <f>T32</f>
        <v>0</v>
      </c>
      <c r="X31" s="20">
        <f t="shared" si="60"/>
        <v>-40388.640000000014</v>
      </c>
      <c r="Y31" s="21"/>
      <c r="Z31" s="19">
        <f>W32</f>
        <v>106968</v>
      </c>
      <c r="AA31" s="20">
        <f t="shared" si="61"/>
        <v>-147356.64000000001</v>
      </c>
      <c r="AB31" s="21"/>
      <c r="AC31" s="19">
        <f>Z32</f>
        <v>0</v>
      </c>
      <c r="AD31" s="20">
        <f t="shared" si="62"/>
        <v>-147356.64000000001</v>
      </c>
      <c r="AE31" s="21"/>
      <c r="AF31" s="19">
        <f>AC32</f>
        <v>0</v>
      </c>
      <c r="AG31" s="20">
        <f t="shared" si="63"/>
        <v>-147356.64000000001</v>
      </c>
      <c r="AH31" s="21"/>
      <c r="AI31" s="19">
        <f>AF32</f>
        <v>0</v>
      </c>
      <c r="AJ31" s="20">
        <f t="shared" si="64"/>
        <v>-147356.64000000001</v>
      </c>
      <c r="AK31" s="21"/>
      <c r="AL31" s="19">
        <f>AI32</f>
        <v>0</v>
      </c>
      <c r="AM31" s="20">
        <f t="shared" si="65"/>
        <v>-147356.64000000001</v>
      </c>
      <c r="AN31" s="5">
        <f t="shared" si="51"/>
        <v>-9314.8000000000138</v>
      </c>
      <c r="AO31" s="5">
        <f t="shared" si="52"/>
        <v>0</v>
      </c>
      <c r="AP31" s="5">
        <f t="shared" si="53"/>
        <v>138041.84</v>
      </c>
      <c r="AQ31" s="5">
        <f t="shared" si="54"/>
        <v>-147356.64000000001</v>
      </c>
    </row>
    <row r="32" spans="1:43" ht="15.75" thickBot="1" x14ac:dyDescent="0.3">
      <c r="A32" s="7" t="s">
        <v>89</v>
      </c>
      <c r="B32" s="8"/>
      <c r="C32" s="5">
        <f>'[1]отчёт за 2019'!AN31</f>
        <v>0</v>
      </c>
      <c r="D32" s="21"/>
      <c r="E32" s="19"/>
      <c r="F32" s="20">
        <f t="shared" si="55"/>
        <v>0</v>
      </c>
      <c r="G32" s="21">
        <f>1500+6700</f>
        <v>8200</v>
      </c>
      <c r="H32" s="19">
        <f>1500+6700</f>
        <v>8200</v>
      </c>
      <c r="I32" s="20">
        <f t="shared" si="56"/>
        <v>0</v>
      </c>
      <c r="J32" s="21"/>
      <c r="K32" s="19"/>
      <c r="L32" s="20">
        <f t="shared" si="57"/>
        <v>0</v>
      </c>
      <c r="M32" s="21">
        <f>20583.84+510+1780</f>
        <v>22873.84</v>
      </c>
      <c r="N32" s="19">
        <f>20583.84+510+1780</f>
        <v>22873.84</v>
      </c>
      <c r="O32" s="20">
        <f t="shared" si="50"/>
        <v>0</v>
      </c>
      <c r="P32" s="21"/>
      <c r="Q32" s="19"/>
      <c r="R32" s="20">
        <f t="shared" si="58"/>
        <v>0</v>
      </c>
      <c r="S32" s="21"/>
      <c r="T32" s="21"/>
      <c r="U32" s="20">
        <f t="shared" si="59"/>
        <v>0</v>
      </c>
      <c r="V32" s="21">
        <f>70000+10000+26968</f>
        <v>106968</v>
      </c>
      <c r="W32" s="19">
        <f>70000+10000+26968</f>
        <v>106968</v>
      </c>
      <c r="X32" s="20">
        <f t="shared" si="60"/>
        <v>0</v>
      </c>
      <c r="Y32" s="21">
        <f>4190.32+195809.68+1500</f>
        <v>201500</v>
      </c>
      <c r="Z32" s="19"/>
      <c r="AA32" s="20">
        <f t="shared" si="61"/>
        <v>201500</v>
      </c>
      <c r="AB32" s="21">
        <v>20000</v>
      </c>
      <c r="AC32" s="19"/>
      <c r="AD32" s="20">
        <f t="shared" si="62"/>
        <v>221500</v>
      </c>
      <c r="AE32" s="21">
        <f>3000+3400</f>
        <v>6400</v>
      </c>
      <c r="AF32" s="19"/>
      <c r="AG32" s="20">
        <f t="shared" si="63"/>
        <v>227900</v>
      </c>
      <c r="AH32" s="21"/>
      <c r="AI32" s="19"/>
      <c r="AJ32" s="20">
        <f t="shared" si="64"/>
        <v>227900</v>
      </c>
      <c r="AK32" s="21"/>
      <c r="AL32" s="19"/>
      <c r="AM32" s="20">
        <f t="shared" si="65"/>
        <v>227900</v>
      </c>
      <c r="AN32" s="5">
        <f t="shared" si="51"/>
        <v>0</v>
      </c>
      <c r="AO32" s="5">
        <f t="shared" si="52"/>
        <v>365941.83999999997</v>
      </c>
      <c r="AP32" s="5">
        <f t="shared" si="53"/>
        <v>138041.84</v>
      </c>
      <c r="AQ32" s="5">
        <f t="shared" si="54"/>
        <v>227899.99999999997</v>
      </c>
    </row>
    <row r="33" spans="1:43" ht="15.75" thickBot="1" x14ac:dyDescent="0.3">
      <c r="A33" s="7" t="s">
        <v>32</v>
      </c>
      <c r="B33" s="8"/>
      <c r="C33" s="5">
        <f>'[1]отчёт за 2019'!AN32</f>
        <v>-257.6119999999737</v>
      </c>
      <c r="D33" s="21">
        <f>$E$5*2.0429</f>
        <v>10661.48652</v>
      </c>
      <c r="E33" s="19">
        <f>C34</f>
        <v>-7012.429999999973</v>
      </c>
      <c r="F33" s="20">
        <f t="shared" si="55"/>
        <v>17416.304519999998</v>
      </c>
      <c r="G33" s="21">
        <f>$E$5*2.414</f>
        <v>12598.183200000001</v>
      </c>
      <c r="H33" s="19">
        <f>E34</f>
        <v>12597.76</v>
      </c>
      <c r="I33" s="20">
        <f t="shared" si="56"/>
        <v>17416.727719999995</v>
      </c>
      <c r="J33" s="21">
        <f>$E$5*3.4201</f>
        <v>17848.817880000002</v>
      </c>
      <c r="K33" s="19">
        <f>H34</f>
        <v>15374.24</v>
      </c>
      <c r="L33" s="20">
        <f t="shared" si="57"/>
        <v>19891.3056</v>
      </c>
      <c r="M33" s="21">
        <f>$E$5*3.4201</f>
        <v>17848.817880000002</v>
      </c>
      <c r="N33" s="19">
        <f>K34</f>
        <v>17848.8</v>
      </c>
      <c r="O33" s="20">
        <f t="shared" si="50"/>
        <v>19891.323480000003</v>
      </c>
      <c r="P33" s="21">
        <f>$E$5*1.23</f>
        <v>6419.1239999999998</v>
      </c>
      <c r="Q33" s="19">
        <f>N34</f>
        <v>0</v>
      </c>
      <c r="R33" s="20">
        <f t="shared" si="58"/>
        <v>26310.447480000003</v>
      </c>
      <c r="S33" s="21">
        <f>$E$5*1.57</f>
        <v>8193.5160000000014</v>
      </c>
      <c r="T33" s="19">
        <f>Q34</f>
        <v>21288.32</v>
      </c>
      <c r="U33" s="20">
        <f t="shared" si="59"/>
        <v>13215.643480000006</v>
      </c>
      <c r="V33" s="21">
        <f>$E$5*0.79</f>
        <v>4122.8520000000008</v>
      </c>
      <c r="W33" s="19">
        <f>T34</f>
        <v>4161.76</v>
      </c>
      <c r="X33" s="20">
        <f t="shared" si="60"/>
        <v>13176.735480000005</v>
      </c>
      <c r="Y33" s="21">
        <f>$E$5*0.77</f>
        <v>4018.4760000000001</v>
      </c>
      <c r="Z33" s="19">
        <f>W34</f>
        <v>4026.9</v>
      </c>
      <c r="AA33" s="20">
        <f t="shared" si="61"/>
        <v>13168.311480000006</v>
      </c>
      <c r="AB33" s="21">
        <f>$E$5*2.27</f>
        <v>11846.676000000001</v>
      </c>
      <c r="AC33" s="19">
        <f>Z34</f>
        <v>11896.9</v>
      </c>
      <c r="AD33" s="20">
        <f t="shared" si="62"/>
        <v>13118.087480000007</v>
      </c>
      <c r="AE33" s="21"/>
      <c r="AF33" s="19">
        <f>AC34</f>
        <v>3.1</v>
      </c>
      <c r="AG33" s="20">
        <f t="shared" si="63"/>
        <v>13114.987480000007</v>
      </c>
      <c r="AH33" s="21">
        <f>$E$5*1.33</f>
        <v>6941.0040000000008</v>
      </c>
      <c r="AI33" s="19">
        <f>AF34</f>
        <v>6919.2</v>
      </c>
      <c r="AJ33" s="20">
        <f t="shared" si="64"/>
        <v>13136.791480000007</v>
      </c>
      <c r="AK33" s="21"/>
      <c r="AL33" s="19">
        <f>AI34</f>
        <v>26656.9</v>
      </c>
      <c r="AM33" s="20">
        <f t="shared" si="65"/>
        <v>-13520.108519999994</v>
      </c>
      <c r="AN33" s="5">
        <f t="shared" si="51"/>
        <v>-257.6119999999737</v>
      </c>
      <c r="AO33" s="5">
        <f t="shared" si="52"/>
        <v>100498.95348000001</v>
      </c>
      <c r="AP33" s="5">
        <f t="shared" si="53"/>
        <v>113761.45000000001</v>
      </c>
      <c r="AQ33" s="5">
        <f t="shared" si="54"/>
        <v>-13520.10851999998</v>
      </c>
    </row>
    <row r="34" spans="1:43" ht="15.75" thickBot="1" x14ac:dyDescent="0.3">
      <c r="A34" s="7" t="s">
        <v>25</v>
      </c>
      <c r="B34" s="8"/>
      <c r="C34" s="5">
        <f>'[1]отчёт за 2019'!AN33</f>
        <v>-7012.429999999973</v>
      </c>
      <c r="D34" s="21">
        <v>10661.92</v>
      </c>
      <c r="E34" s="19">
        <v>12597.76</v>
      </c>
      <c r="F34" s="20">
        <f t="shared" si="55"/>
        <v>-8948.2699999999732</v>
      </c>
      <c r="G34" s="21">
        <v>12670.98</v>
      </c>
      <c r="H34" s="19">
        <v>15374.24</v>
      </c>
      <c r="I34" s="20">
        <f t="shared" si="56"/>
        <v>-11651.529999999973</v>
      </c>
      <c r="J34" s="21"/>
      <c r="K34" s="19">
        <v>17848.8</v>
      </c>
      <c r="L34" s="20">
        <f t="shared" si="57"/>
        <v>-29500.329999999973</v>
      </c>
      <c r="M34" s="21">
        <f>15374.24+33223.04</f>
        <v>48597.279999999999</v>
      </c>
      <c r="N34" s="19"/>
      <c r="O34" s="20">
        <f t="shared" si="50"/>
        <v>19096.950000000026</v>
      </c>
      <c r="P34" s="21">
        <v>6408.4</v>
      </c>
      <c r="Q34" s="19">
        <v>21288.32</v>
      </c>
      <c r="R34" s="20">
        <f t="shared" si="58"/>
        <v>4217.0300000000279</v>
      </c>
      <c r="S34" s="21">
        <v>5914.08</v>
      </c>
      <c r="T34" s="19">
        <v>4161.76</v>
      </c>
      <c r="U34" s="20">
        <f t="shared" si="59"/>
        <v>5969.3500000000276</v>
      </c>
      <c r="V34" s="21">
        <v>4161.76</v>
      </c>
      <c r="W34" s="19">
        <v>4026.9</v>
      </c>
      <c r="X34" s="20">
        <f t="shared" si="60"/>
        <v>6104.2100000000282</v>
      </c>
      <c r="Y34" s="21">
        <v>4026.9</v>
      </c>
      <c r="Z34" s="19">
        <v>11896.9</v>
      </c>
      <c r="AA34" s="20">
        <f t="shared" si="61"/>
        <v>-1765.7899999999718</v>
      </c>
      <c r="AB34" s="21">
        <v>11869.9</v>
      </c>
      <c r="AC34" s="19">
        <v>3.1</v>
      </c>
      <c r="AD34" s="20">
        <f t="shared" si="62"/>
        <v>10101.010000000028</v>
      </c>
      <c r="AE34" s="21">
        <v>3.1</v>
      </c>
      <c r="AF34" s="19">
        <v>6919.2</v>
      </c>
      <c r="AG34" s="20">
        <f t="shared" si="63"/>
        <v>3184.910000000028</v>
      </c>
      <c r="AH34" s="21">
        <v>6919.2</v>
      </c>
      <c r="AI34" s="19">
        <v>26656.9</v>
      </c>
      <c r="AJ34" s="20">
        <f t="shared" si="64"/>
        <v>-16552.789999999972</v>
      </c>
      <c r="AK34" s="21"/>
      <c r="AL34" s="19"/>
      <c r="AM34" s="20">
        <f t="shared" si="65"/>
        <v>-16552.789999999972</v>
      </c>
      <c r="AN34" s="5">
        <f t="shared" si="51"/>
        <v>-7012.429999999973</v>
      </c>
      <c r="AO34" s="5">
        <f t="shared" si="52"/>
        <v>111233.51999999997</v>
      </c>
      <c r="AP34" s="5">
        <f t="shared" si="53"/>
        <v>120773.87999999998</v>
      </c>
      <c r="AQ34" s="5">
        <f t="shared" si="54"/>
        <v>-16552.789999999979</v>
      </c>
    </row>
    <row r="35" spans="1:43" ht="15.75" thickBot="1" x14ac:dyDescent="0.3">
      <c r="A35" s="7" t="s">
        <v>33</v>
      </c>
      <c r="B35" s="8"/>
      <c r="C35" s="5">
        <f>'[1]отчёт за 2019'!AN34</f>
        <v>-7959.1600000000008</v>
      </c>
      <c r="D35" s="21">
        <f>$E$5*0.17</f>
        <v>887.19600000000014</v>
      </c>
      <c r="E35" s="19">
        <f>C36</f>
        <v>-4152.8</v>
      </c>
      <c r="F35" s="20">
        <f t="shared" si="55"/>
        <v>-2919.1640000000007</v>
      </c>
      <c r="G35" s="21">
        <f>$E$5*0.17</f>
        <v>887.19600000000014</v>
      </c>
      <c r="H35" s="19">
        <f>E36</f>
        <v>883.49</v>
      </c>
      <c r="I35" s="20">
        <f t="shared" si="56"/>
        <v>-2915.4580000000005</v>
      </c>
      <c r="J35" s="21">
        <f>$E$5*0.17</f>
        <v>887.19600000000014</v>
      </c>
      <c r="K35" s="19">
        <f>H36</f>
        <v>883.49</v>
      </c>
      <c r="L35" s="20">
        <f t="shared" si="57"/>
        <v>-2911.7520000000004</v>
      </c>
      <c r="M35" s="21">
        <f>$E$5*0.17</f>
        <v>887.19600000000014</v>
      </c>
      <c r="N35" s="19">
        <f>K36</f>
        <v>883.49</v>
      </c>
      <c r="O35" s="20">
        <f t="shared" si="50"/>
        <v>-2908.0460000000003</v>
      </c>
      <c r="P35" s="21">
        <f>$E$5*0.17</f>
        <v>887.19600000000014</v>
      </c>
      <c r="Q35" s="19">
        <f>N36</f>
        <v>883.49</v>
      </c>
      <c r="R35" s="20">
        <f t="shared" si="58"/>
        <v>-2904.34</v>
      </c>
      <c r="S35" s="21">
        <f>$E$5*0.17</f>
        <v>887.19600000000014</v>
      </c>
      <c r="T35" s="19">
        <f>Q36</f>
        <v>883.49</v>
      </c>
      <c r="U35" s="20">
        <f t="shared" si="59"/>
        <v>-2900.634</v>
      </c>
      <c r="V35" s="21">
        <f>$E$5*3.05</f>
        <v>15917.34</v>
      </c>
      <c r="W35" s="19">
        <f>T36</f>
        <v>16843.59</v>
      </c>
      <c r="X35" s="20">
        <f t="shared" si="60"/>
        <v>-3826.884</v>
      </c>
      <c r="Y35" s="21">
        <f>$E$5*1.63</f>
        <v>8506.6440000000002</v>
      </c>
      <c r="Z35" s="19">
        <f>W36</f>
        <v>8496.43</v>
      </c>
      <c r="AA35" s="20">
        <f t="shared" si="61"/>
        <v>-3816.67</v>
      </c>
      <c r="AB35" s="21">
        <f>$E$5*1.36</f>
        <v>7097.5680000000011</v>
      </c>
      <c r="AC35" s="19">
        <f>Z36</f>
        <v>7107.46</v>
      </c>
      <c r="AD35" s="20">
        <f t="shared" si="62"/>
        <v>-3826.561999999999</v>
      </c>
      <c r="AE35" s="21">
        <f>$E$5*0.76</f>
        <v>3966.288</v>
      </c>
      <c r="AF35" s="19">
        <f>AC36</f>
        <v>3968.51</v>
      </c>
      <c r="AG35" s="20">
        <f t="shared" si="63"/>
        <v>-3828.7839999999992</v>
      </c>
      <c r="AH35" s="21">
        <f>$E$5*0.07</f>
        <v>365.31600000000003</v>
      </c>
      <c r="AI35" s="19">
        <f>AF36</f>
        <v>3645.13</v>
      </c>
      <c r="AJ35" s="20">
        <f t="shared" si="64"/>
        <v>-7108.597999999999</v>
      </c>
      <c r="AK35" s="21"/>
      <c r="AL35" s="19">
        <f>AI36</f>
        <v>25567.97</v>
      </c>
      <c r="AM35" s="20">
        <f t="shared" si="65"/>
        <v>-32676.567999999999</v>
      </c>
      <c r="AN35" s="5">
        <f t="shared" si="51"/>
        <v>-7959.1600000000008</v>
      </c>
      <c r="AO35" s="5">
        <f t="shared" si="52"/>
        <v>41176.332000000002</v>
      </c>
      <c r="AP35" s="5">
        <f t="shared" si="53"/>
        <v>65893.739999999991</v>
      </c>
      <c r="AQ35" s="5">
        <f t="shared" si="54"/>
        <v>-32676.567999999992</v>
      </c>
    </row>
    <row r="36" spans="1:43" ht="15.75" thickBot="1" x14ac:dyDescent="0.3">
      <c r="A36" s="7" t="s">
        <v>38</v>
      </c>
      <c r="B36" s="8"/>
      <c r="C36" s="5">
        <f>'[1]отчёт за 2019'!AN35</f>
        <v>-4152.8</v>
      </c>
      <c r="D36" s="21">
        <v>883.49</v>
      </c>
      <c r="E36" s="19">
        <v>883.49</v>
      </c>
      <c r="F36" s="20">
        <f t="shared" si="55"/>
        <v>-4152.8</v>
      </c>
      <c r="G36" s="21">
        <v>883.49</v>
      </c>
      <c r="H36" s="19">
        <v>883.49</v>
      </c>
      <c r="I36" s="20">
        <f t="shared" si="56"/>
        <v>-4152.8</v>
      </c>
      <c r="J36" s="21"/>
      <c r="K36" s="19">
        <v>883.49</v>
      </c>
      <c r="L36" s="20">
        <f t="shared" si="57"/>
        <v>-5036.29</v>
      </c>
      <c r="M36" s="21">
        <f>883.49+883.49</f>
        <v>1766.98</v>
      </c>
      <c r="N36" s="19">
        <v>883.49</v>
      </c>
      <c r="O36" s="20">
        <f t="shared" si="50"/>
        <v>-4152.8</v>
      </c>
      <c r="P36" s="21">
        <v>883.49</v>
      </c>
      <c r="Q36" s="19">
        <v>883.49</v>
      </c>
      <c r="R36" s="20">
        <f t="shared" si="58"/>
        <v>-4152.8</v>
      </c>
      <c r="S36" s="21">
        <v>883.49</v>
      </c>
      <c r="T36" s="19">
        <v>16843.59</v>
      </c>
      <c r="U36" s="20">
        <f t="shared" si="59"/>
        <v>-20112.900000000001</v>
      </c>
      <c r="V36" s="21">
        <v>16843.59</v>
      </c>
      <c r="W36" s="19">
        <v>8496.43</v>
      </c>
      <c r="X36" s="20">
        <f t="shared" si="60"/>
        <v>-11765.740000000002</v>
      </c>
      <c r="Y36" s="21">
        <f>8496.43+45359.61</f>
        <v>53856.04</v>
      </c>
      <c r="Z36" s="19">
        <v>7107.46</v>
      </c>
      <c r="AA36" s="20">
        <f t="shared" si="61"/>
        <v>34982.840000000004</v>
      </c>
      <c r="AB36" s="21">
        <v>7107.46</v>
      </c>
      <c r="AC36" s="19">
        <v>3968.51</v>
      </c>
      <c r="AD36" s="20">
        <f t="shared" si="62"/>
        <v>38121.79</v>
      </c>
      <c r="AE36" s="21">
        <v>3968.51</v>
      </c>
      <c r="AF36" s="19">
        <v>3645.13</v>
      </c>
      <c r="AG36" s="20">
        <f t="shared" si="63"/>
        <v>38445.170000000006</v>
      </c>
      <c r="AH36" s="21">
        <f>3037.61+1000</f>
        <v>4037.61</v>
      </c>
      <c r="AI36" s="19">
        <v>25567.97</v>
      </c>
      <c r="AJ36" s="20">
        <f t="shared" si="64"/>
        <v>16914.810000000005</v>
      </c>
      <c r="AK36" s="21"/>
      <c r="AL36" s="19"/>
      <c r="AM36" s="20">
        <f t="shared" si="65"/>
        <v>16914.810000000005</v>
      </c>
      <c r="AN36" s="5">
        <f t="shared" si="51"/>
        <v>-4152.8</v>
      </c>
      <c r="AO36" s="5">
        <f t="shared" si="52"/>
        <v>91114.150000000009</v>
      </c>
      <c r="AP36" s="5">
        <f t="shared" si="53"/>
        <v>70046.540000000008</v>
      </c>
      <c r="AQ36" s="5">
        <f t="shared" si="54"/>
        <v>16914.809999999998</v>
      </c>
    </row>
    <row r="37" spans="1:43" ht="15.75" thickBot="1" x14ac:dyDescent="0.3">
      <c r="A37" s="7" t="s">
        <v>92</v>
      </c>
      <c r="B37" s="8"/>
      <c r="C37" s="5">
        <f>'[1]отчёт за 2019'!AN36</f>
        <v>0</v>
      </c>
      <c r="D37" s="21"/>
      <c r="E37" s="19"/>
      <c r="F37" s="20">
        <f t="shared" si="55"/>
        <v>0</v>
      </c>
      <c r="G37" s="21"/>
      <c r="H37" s="19"/>
      <c r="I37" s="20">
        <f t="shared" si="56"/>
        <v>0</v>
      </c>
      <c r="J37" s="21"/>
      <c r="K37" s="19">
        <f t="shared" ref="K37:K38" si="66">H37+I37-J37</f>
        <v>0</v>
      </c>
      <c r="L37" s="20"/>
      <c r="M37" s="21">
        <f t="shared" ref="M37:M38" si="67">J37+K37-L37</f>
        <v>0</v>
      </c>
      <c r="N37" s="19"/>
      <c r="O37" s="20">
        <f t="shared" si="50"/>
        <v>0</v>
      </c>
      <c r="P37" s="21"/>
      <c r="Q37" s="19"/>
      <c r="R37" s="20">
        <f t="shared" si="58"/>
        <v>0</v>
      </c>
      <c r="S37" s="21"/>
      <c r="T37" s="19"/>
      <c r="U37" s="20">
        <f t="shared" si="59"/>
        <v>0</v>
      </c>
      <c r="V37" s="21"/>
      <c r="W37" s="19"/>
      <c r="X37" s="20">
        <f t="shared" si="60"/>
        <v>0</v>
      </c>
      <c r="Y37" s="21"/>
      <c r="Z37" s="19"/>
      <c r="AA37" s="20">
        <f t="shared" si="61"/>
        <v>0</v>
      </c>
      <c r="AB37" s="21"/>
      <c r="AC37" s="19"/>
      <c r="AD37" s="20">
        <f t="shared" si="62"/>
        <v>0</v>
      </c>
      <c r="AE37" s="21"/>
      <c r="AF37" s="19"/>
      <c r="AG37" s="20">
        <f t="shared" si="63"/>
        <v>0</v>
      </c>
      <c r="AH37" s="21"/>
      <c r="AI37" s="19">
        <f>AF38</f>
        <v>1841.17</v>
      </c>
      <c r="AJ37" s="20">
        <f t="shared" si="64"/>
        <v>-1841.17</v>
      </c>
      <c r="AK37" s="21"/>
      <c r="AL37" s="19">
        <f>AI38</f>
        <v>1841.17</v>
      </c>
      <c r="AM37" s="20">
        <f t="shared" si="65"/>
        <v>-3682.34</v>
      </c>
      <c r="AN37" s="5">
        <f t="shared" ref="AN37:AN38" si="68">C37</f>
        <v>0</v>
      </c>
      <c r="AO37" s="5">
        <f t="shared" si="52"/>
        <v>0</v>
      </c>
      <c r="AP37" s="5">
        <f t="shared" si="53"/>
        <v>3682.34</v>
      </c>
      <c r="AQ37" s="5">
        <f t="shared" ref="AQ37:AQ38" si="69">AN37+AO37-AP37</f>
        <v>-3682.34</v>
      </c>
    </row>
    <row r="38" spans="1:43" ht="15.75" thickBot="1" x14ac:dyDescent="0.3">
      <c r="A38" s="7" t="s">
        <v>91</v>
      </c>
      <c r="B38" s="8"/>
      <c r="C38" s="32">
        <f>'[1]отчёт за 2019'!AN37</f>
        <v>0</v>
      </c>
      <c r="D38" s="33"/>
      <c r="E38" s="34"/>
      <c r="F38" s="35">
        <f t="shared" si="55"/>
        <v>0</v>
      </c>
      <c r="G38" s="33"/>
      <c r="H38" s="34"/>
      <c r="I38" s="35">
        <f t="shared" si="56"/>
        <v>0</v>
      </c>
      <c r="J38" s="33"/>
      <c r="K38" s="34">
        <f t="shared" si="66"/>
        <v>0</v>
      </c>
      <c r="L38" s="35"/>
      <c r="M38" s="33">
        <f t="shared" si="67"/>
        <v>0</v>
      </c>
      <c r="N38" s="34"/>
      <c r="O38" s="35">
        <f t="shared" si="50"/>
        <v>0</v>
      </c>
      <c r="P38" s="33"/>
      <c r="Q38" s="34"/>
      <c r="R38" s="35">
        <f t="shared" si="58"/>
        <v>0</v>
      </c>
      <c r="S38" s="33"/>
      <c r="T38" s="34"/>
      <c r="U38" s="35">
        <f t="shared" si="59"/>
        <v>0</v>
      </c>
      <c r="V38" s="33"/>
      <c r="W38" s="34">
        <v>1792.77</v>
      </c>
      <c r="X38" s="35">
        <f t="shared" si="60"/>
        <v>-1792.77</v>
      </c>
      <c r="Y38" s="33"/>
      <c r="Z38" s="34">
        <v>1841.17</v>
      </c>
      <c r="AA38" s="35">
        <f t="shared" si="61"/>
        <v>-3633.94</v>
      </c>
      <c r="AB38" s="33"/>
      <c r="AC38" s="34">
        <v>1841.17</v>
      </c>
      <c r="AD38" s="35">
        <f t="shared" si="62"/>
        <v>-5475.1100000000006</v>
      </c>
      <c r="AE38" s="33"/>
      <c r="AF38" s="34">
        <v>1841.17</v>
      </c>
      <c r="AG38" s="35">
        <f t="shared" si="63"/>
        <v>-7316.2800000000007</v>
      </c>
      <c r="AH38" s="33">
        <v>9157.4500000000007</v>
      </c>
      <c r="AI38" s="34">
        <v>1841.17</v>
      </c>
      <c r="AJ38" s="35">
        <f t="shared" si="64"/>
        <v>0</v>
      </c>
      <c r="AK38" s="33"/>
      <c r="AL38" s="34">
        <v>1841.17</v>
      </c>
      <c r="AM38" s="35">
        <f t="shared" si="65"/>
        <v>-1841.17</v>
      </c>
      <c r="AN38" s="5">
        <f t="shared" si="68"/>
        <v>0</v>
      </c>
      <c r="AO38" s="5">
        <f t="shared" si="52"/>
        <v>9157.4500000000007</v>
      </c>
      <c r="AP38" s="5">
        <f t="shared" si="53"/>
        <v>10998.62</v>
      </c>
      <c r="AQ38" s="5">
        <f t="shared" si="69"/>
        <v>-1841.17</v>
      </c>
    </row>
    <row r="39" spans="1:43" x14ac:dyDescent="0.25">
      <c r="A39" s="16" t="s">
        <v>14</v>
      </c>
      <c r="C39" s="16" t="s">
        <v>15</v>
      </c>
      <c r="D39" s="16"/>
      <c r="E39" s="16"/>
      <c r="F39" s="16" t="s">
        <v>16</v>
      </c>
      <c r="G39" s="16"/>
      <c r="H39" s="16"/>
      <c r="I39" s="5" t="s">
        <v>95</v>
      </c>
      <c r="K39" s="5" t="s">
        <v>93</v>
      </c>
      <c r="M39" s="16" t="s">
        <v>94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43" x14ac:dyDescent="0.25">
      <c r="A40" s="15"/>
    </row>
    <row r="41" spans="1:43" x14ac:dyDescent="0.25">
      <c r="A41" s="15"/>
    </row>
    <row r="42" spans="1:43" x14ac:dyDescent="0.25">
      <c r="A42" s="15"/>
    </row>
    <row r="43" spans="1:43" x14ac:dyDescent="0.25">
      <c r="A43" s="15"/>
    </row>
    <row r="44" spans="1:43" x14ac:dyDescent="0.25">
      <c r="A44" s="15"/>
    </row>
    <row r="45" spans="1:43" x14ac:dyDescent="0.25">
      <c r="A45" s="15"/>
    </row>
  </sheetData>
  <mergeCells count="11">
    <mergeCell ref="A4:D4"/>
    <mergeCell ref="A5:D5"/>
    <mergeCell ref="AK6:AM6"/>
    <mergeCell ref="AB6:AD6"/>
    <mergeCell ref="AE6:AG6"/>
    <mergeCell ref="AH6:AJ6"/>
    <mergeCell ref="M6:O6"/>
    <mergeCell ref="P6:R6"/>
    <mergeCell ref="S6:U6"/>
    <mergeCell ref="V6:X6"/>
    <mergeCell ref="Y6:AA6"/>
  </mergeCells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7" workbookViewId="0">
      <selection activeCell="B33" sqref="B33:D36"/>
    </sheetView>
  </sheetViews>
  <sheetFormatPr defaultRowHeight="15" x14ac:dyDescent="0.25"/>
  <cols>
    <col min="1" max="1" width="14.140625" customWidth="1"/>
    <col min="2" max="2" width="14.5703125" customWidth="1"/>
    <col min="3" max="3" width="16.85546875" customWidth="1"/>
    <col min="4" max="4" width="16" customWidth="1"/>
    <col min="5" max="5" width="16.42578125" customWidth="1"/>
    <col min="6" max="6" width="13.5703125" customWidth="1"/>
  </cols>
  <sheetData>
    <row r="1" spans="1:6" ht="105.75" thickBot="1" x14ac:dyDescent="0.3">
      <c r="A1" s="51" t="s">
        <v>45</v>
      </c>
      <c r="B1" s="51" t="s">
        <v>53</v>
      </c>
      <c r="C1" s="51" t="s">
        <v>46</v>
      </c>
      <c r="D1" s="51" t="s">
        <v>55</v>
      </c>
      <c r="E1" s="51" t="s">
        <v>54</v>
      </c>
      <c r="F1" s="51" t="s">
        <v>47</v>
      </c>
    </row>
    <row r="2" spans="1:6" x14ac:dyDescent="0.25">
      <c r="A2" s="47">
        <v>37702.870000000039</v>
      </c>
      <c r="B2" s="48">
        <v>-159200.46199999994</v>
      </c>
      <c r="C2" s="49">
        <v>2458986.67</v>
      </c>
      <c r="D2" s="50">
        <v>2649293.1460000006</v>
      </c>
      <c r="E2" s="48">
        <v>-349506.93800000055</v>
      </c>
      <c r="F2" s="47">
        <v>192409.56000000006</v>
      </c>
    </row>
    <row r="3" spans="1:6" ht="15.75" thickBot="1" x14ac:dyDescent="0.3">
      <c r="A3" s="52"/>
      <c r="B3" s="52"/>
      <c r="C3" s="52"/>
      <c r="D3" s="52"/>
      <c r="E3" s="52"/>
      <c r="F3" s="52"/>
    </row>
    <row r="4" spans="1:6" ht="75.75" thickBot="1" x14ac:dyDescent="0.3">
      <c r="A4" s="52"/>
      <c r="B4" s="51" t="s">
        <v>48</v>
      </c>
      <c r="C4" s="51" t="s">
        <v>49</v>
      </c>
      <c r="D4" s="52"/>
      <c r="E4" s="52"/>
      <c r="F4" s="52"/>
    </row>
    <row r="5" spans="1:6" x14ac:dyDescent="0.25">
      <c r="A5" s="52"/>
      <c r="B5" s="44">
        <v>2505755.4299999997</v>
      </c>
      <c r="C5" s="42">
        <v>2351048.7399999998</v>
      </c>
      <c r="D5" s="52"/>
      <c r="E5" s="52"/>
      <c r="F5" s="52"/>
    </row>
    <row r="6" spans="1:6" ht="15.75" thickBot="1" x14ac:dyDescent="0.3">
      <c r="A6" s="52"/>
      <c r="B6" s="52"/>
      <c r="C6" s="52"/>
      <c r="D6" s="52"/>
      <c r="E6" s="52"/>
      <c r="F6" s="52"/>
    </row>
    <row r="7" spans="1:6" ht="105.75" thickBot="1" x14ac:dyDescent="0.3">
      <c r="A7" s="51" t="s">
        <v>56</v>
      </c>
      <c r="B7" s="51" t="s">
        <v>50</v>
      </c>
      <c r="C7" s="51" t="s">
        <v>51</v>
      </c>
      <c r="D7" s="51" t="s">
        <v>52</v>
      </c>
      <c r="E7" s="52"/>
      <c r="F7" s="52"/>
    </row>
    <row r="8" spans="1:6" x14ac:dyDescent="0.25">
      <c r="A8" s="47">
        <v>-229017.15000000002</v>
      </c>
      <c r="B8" s="48">
        <v>1137852.4700000002</v>
      </c>
      <c r="C8" s="49">
        <v>1251611.9520000003</v>
      </c>
      <c r="D8" s="50">
        <v>-342776.6320000001</v>
      </c>
      <c r="E8" s="52"/>
      <c r="F8" s="52"/>
    </row>
    <row r="9" spans="1:6" ht="15.75" thickBot="1" x14ac:dyDescent="0.3">
      <c r="A9" s="52"/>
      <c r="B9" s="52"/>
      <c r="C9" s="52"/>
      <c r="D9" s="52"/>
      <c r="E9" s="52"/>
      <c r="F9" s="52"/>
    </row>
    <row r="10" spans="1:6" ht="105.75" thickBot="1" x14ac:dyDescent="0.3">
      <c r="A10" s="51" t="s">
        <v>57</v>
      </c>
      <c r="B10" s="51" t="s">
        <v>58</v>
      </c>
      <c r="C10" s="51" t="s">
        <v>59</v>
      </c>
      <c r="D10" s="51" t="s">
        <v>60</v>
      </c>
      <c r="E10" s="52"/>
      <c r="F10" s="52"/>
    </row>
    <row r="11" spans="1:6" x14ac:dyDescent="0.25">
      <c r="A11" s="47">
        <v>-2850</v>
      </c>
      <c r="B11" s="48">
        <v>17400</v>
      </c>
      <c r="C11" s="49">
        <v>16800</v>
      </c>
      <c r="D11" s="50">
        <v>-2250</v>
      </c>
      <c r="E11" s="52"/>
      <c r="F11" s="52"/>
    </row>
    <row r="12" spans="1:6" ht="15.75" thickBot="1" x14ac:dyDescent="0.3"/>
    <row r="13" spans="1:6" ht="45.75" thickBot="1" x14ac:dyDescent="0.3">
      <c r="B13" s="51" t="s">
        <v>61</v>
      </c>
      <c r="C13" s="51" t="s">
        <v>64</v>
      </c>
      <c r="D13" s="51" t="s">
        <v>63</v>
      </c>
    </row>
    <row r="14" spans="1:6" ht="15.75" thickBot="1" x14ac:dyDescent="0.3">
      <c r="B14" s="5">
        <v>16282.656000000004</v>
      </c>
      <c r="C14" s="5">
        <v>15684</v>
      </c>
      <c r="D14" s="5">
        <v>598.6560000000045</v>
      </c>
    </row>
    <row r="15" spans="1:6" ht="45.75" thickBot="1" x14ac:dyDescent="0.3">
      <c r="B15" s="51" t="s">
        <v>62</v>
      </c>
      <c r="C15" s="51" t="s">
        <v>66</v>
      </c>
      <c r="D15" s="51" t="s">
        <v>67</v>
      </c>
    </row>
    <row r="16" spans="1:6" x14ac:dyDescent="0.25">
      <c r="B16" s="5">
        <v>13829</v>
      </c>
      <c r="C16" s="5">
        <v>16443</v>
      </c>
      <c r="D16" s="5">
        <v>-2614</v>
      </c>
    </row>
    <row r="17" spans="1:4" ht="15.75" thickBot="1" x14ac:dyDescent="0.3"/>
    <row r="18" spans="1:4" ht="45.75" thickBot="1" x14ac:dyDescent="0.3">
      <c r="B18" s="51" t="s">
        <v>61</v>
      </c>
      <c r="C18" s="51" t="s">
        <v>64</v>
      </c>
      <c r="D18" s="51" t="s">
        <v>65</v>
      </c>
    </row>
    <row r="19" spans="1:4" ht="15.75" thickBot="1" x14ac:dyDescent="0.3">
      <c r="B19" s="5">
        <v>457127.99999999994</v>
      </c>
      <c r="C19" s="5">
        <v>461631</v>
      </c>
      <c r="D19" s="5">
        <v>-4503.0000000000582</v>
      </c>
    </row>
    <row r="20" spans="1:4" ht="45.75" thickBot="1" x14ac:dyDescent="0.3">
      <c r="B20" s="51" t="s">
        <v>62</v>
      </c>
      <c r="C20" s="51" t="s">
        <v>66</v>
      </c>
      <c r="D20" s="51" t="s">
        <v>67</v>
      </c>
    </row>
    <row r="21" spans="1:4" x14ac:dyDescent="0.25">
      <c r="B21" s="5">
        <v>410354.71</v>
      </c>
      <c r="C21" s="5">
        <v>508246</v>
      </c>
      <c r="D21" s="5">
        <v>-97891.289999999979</v>
      </c>
    </row>
    <row r="22" spans="1:4" ht="15.75" thickBot="1" x14ac:dyDescent="0.3"/>
    <row r="23" spans="1:4" ht="45.75" thickBot="1" x14ac:dyDescent="0.3">
      <c r="B23" s="51" t="s">
        <v>61</v>
      </c>
      <c r="C23" s="51" t="s">
        <v>64</v>
      </c>
      <c r="D23" s="51" t="s">
        <v>65</v>
      </c>
    </row>
    <row r="24" spans="1:4" ht="15.75" thickBot="1" x14ac:dyDescent="0.3">
      <c r="B24" s="5">
        <v>146126.39999999999</v>
      </c>
      <c r="C24" s="5">
        <v>155441.20000000001</v>
      </c>
      <c r="D24" s="5">
        <v>-9314.8000000000175</v>
      </c>
    </row>
    <row r="25" spans="1:4" ht="45.75" thickBot="1" x14ac:dyDescent="0.3">
      <c r="B25" s="51" t="s">
        <v>62</v>
      </c>
      <c r="C25" s="51" t="s">
        <v>66</v>
      </c>
      <c r="D25" s="51" t="s">
        <v>67</v>
      </c>
    </row>
    <row r="26" spans="1:4" x14ac:dyDescent="0.25">
      <c r="B26" s="5">
        <v>155441.20000000001</v>
      </c>
      <c r="C26" s="5">
        <v>155441.20000000001</v>
      </c>
      <c r="D26" s="5">
        <v>0</v>
      </c>
    </row>
    <row r="27" spans="1:4" ht="15.75" thickBot="1" x14ac:dyDescent="0.3"/>
    <row r="28" spans="1:4" ht="45.75" thickBot="1" x14ac:dyDescent="0.3">
      <c r="B28" s="51" t="s">
        <v>61</v>
      </c>
      <c r="C28" s="51" t="s">
        <v>64</v>
      </c>
      <c r="D28" s="51" t="s">
        <v>65</v>
      </c>
    </row>
    <row r="29" spans="1:4" ht="15.75" thickBot="1" x14ac:dyDescent="0.3">
      <c r="B29" s="5">
        <v>311614.54799999995</v>
      </c>
      <c r="C29" s="5">
        <v>311872.15999999997</v>
      </c>
      <c r="D29" s="5">
        <v>-257.61200000002282</v>
      </c>
    </row>
    <row r="30" spans="1:4" ht="105.75" thickBot="1" x14ac:dyDescent="0.3">
      <c r="A30" s="51" t="s">
        <v>68</v>
      </c>
      <c r="B30" s="51" t="s">
        <v>69</v>
      </c>
      <c r="C30" s="51" t="s">
        <v>70</v>
      </c>
      <c r="D30" s="51" t="s">
        <v>71</v>
      </c>
    </row>
    <row r="31" spans="1:4" x14ac:dyDescent="0.25">
      <c r="A31" s="5">
        <v>-101757.6</v>
      </c>
      <c r="B31" s="5">
        <v>280213.18999999994</v>
      </c>
      <c r="C31" s="5">
        <v>185468.02000000005</v>
      </c>
      <c r="D31" s="5">
        <v>-7012.4300000001094</v>
      </c>
    </row>
    <row r="32" spans="1:4" ht="15.75" thickBot="1" x14ac:dyDescent="0.3"/>
    <row r="33" spans="1:4" ht="45.75" thickBot="1" x14ac:dyDescent="0.3">
      <c r="B33" s="51" t="s">
        <v>61</v>
      </c>
      <c r="C33" s="51" t="s">
        <v>64</v>
      </c>
      <c r="D33" s="51" t="s">
        <v>65</v>
      </c>
    </row>
    <row r="34" spans="1:4" ht="15.75" thickBot="1" x14ac:dyDescent="0.3">
      <c r="B34" s="5">
        <v>22832.25</v>
      </c>
      <c r="C34" s="5">
        <v>30791.410000000007</v>
      </c>
      <c r="D34" s="5">
        <v>-7959.1600000000071</v>
      </c>
    </row>
    <row r="35" spans="1:4" ht="90.75" thickBot="1" x14ac:dyDescent="0.3">
      <c r="A35" s="51"/>
      <c r="B35" s="51" t="s">
        <v>72</v>
      </c>
      <c r="C35" s="51" t="s">
        <v>73</v>
      </c>
      <c r="D35" s="51" t="s">
        <v>74</v>
      </c>
    </row>
    <row r="36" spans="1:4" x14ac:dyDescent="0.25">
      <c r="A36" s="5"/>
      <c r="B36" s="5">
        <v>27522.100000000009</v>
      </c>
      <c r="C36" s="5">
        <v>31674.900000000009</v>
      </c>
      <c r="D36" s="5">
        <v>-4152.7999999999993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отчёт за 2020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Danton</dc:creator>
  <cp:lastModifiedBy>Danton</cp:lastModifiedBy>
  <cp:lastPrinted>2019-09-02T13:58:29Z</cp:lastPrinted>
  <dcterms:created xsi:type="dcterms:W3CDTF">2019-03-19T16:15:19Z</dcterms:created>
  <dcterms:modified xsi:type="dcterms:W3CDTF">2020-12-19T17:02:11Z</dcterms:modified>
</cp:coreProperties>
</file>