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ТСЖ Макаренко 10а\Отчёты\"/>
    </mc:Choice>
  </mc:AlternateContent>
  <bookViews>
    <workbookView xWindow="0" yWindow="0" windowWidth="28800" windowHeight="12585"/>
  </bookViews>
  <sheets>
    <sheet name="выписка 201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5" i="1" l="1"/>
  <c r="AP35" i="1"/>
  <c r="AQ34" i="1"/>
  <c r="AR34" i="1" s="1"/>
  <c r="AP34" i="1"/>
  <c r="AQ33" i="1"/>
  <c r="AP33" i="1"/>
  <c r="AQ32" i="1"/>
  <c r="AR32" i="1" s="1"/>
  <c r="AP32" i="1"/>
  <c r="AQ31" i="1"/>
  <c r="AP31" i="1"/>
  <c r="AQ30" i="1"/>
  <c r="AR30" i="1" s="1"/>
  <c r="AP30" i="1"/>
  <c r="AQ29" i="1"/>
  <c r="AP29" i="1"/>
  <c r="AQ28" i="1"/>
  <c r="AR28" i="1" s="1"/>
  <c r="AP28" i="1"/>
  <c r="AQ27" i="1"/>
  <c r="AP27" i="1"/>
  <c r="AR27" i="1" s="1"/>
  <c r="AQ26" i="1"/>
  <c r="AR26" i="1" s="1"/>
  <c r="AP26" i="1"/>
  <c r="AQ24" i="1"/>
  <c r="AP24" i="1"/>
  <c r="AR24" i="1" s="1"/>
  <c r="AQ23" i="1"/>
  <c r="AP23" i="1"/>
  <c r="AQ22" i="1"/>
  <c r="AP22" i="1"/>
  <c r="AR22" i="1" s="1"/>
  <c r="AQ21" i="1"/>
  <c r="AP21" i="1"/>
  <c r="AQ12" i="1"/>
  <c r="AP12" i="1"/>
  <c r="AR12" i="1" s="1"/>
  <c r="AQ11" i="1"/>
  <c r="AP11" i="1"/>
  <c r="AQ9" i="1"/>
  <c r="AR9" i="1" s="1"/>
  <c r="AP9" i="1"/>
  <c r="AQ8" i="1"/>
  <c r="AP8" i="1"/>
  <c r="AR35" i="1"/>
  <c r="AR33" i="1"/>
  <c r="AR31" i="1"/>
  <c r="AR29" i="1"/>
  <c r="AR23" i="1"/>
  <c r="AR21" i="1"/>
  <c r="AO35" i="1"/>
  <c r="AO34" i="1"/>
  <c r="AO33" i="1"/>
  <c r="AO32" i="1"/>
  <c r="AO31" i="1"/>
  <c r="AO30" i="1"/>
  <c r="AO29" i="1"/>
  <c r="AO28" i="1"/>
  <c r="AO27" i="1"/>
  <c r="AO26" i="1"/>
  <c r="AO24" i="1"/>
  <c r="AO23" i="1"/>
  <c r="AO22" i="1"/>
  <c r="AO21" i="1"/>
  <c r="AO12" i="1"/>
  <c r="AO11" i="1"/>
  <c r="AO9" i="1"/>
  <c r="AO8" i="1"/>
  <c r="AR11" i="1" l="1"/>
  <c r="AR8" i="1"/>
  <c r="K12" i="1"/>
  <c r="D12" i="1"/>
  <c r="R17" i="1" l="1"/>
  <c r="T8" i="1" l="1"/>
  <c r="W8" i="1" l="1"/>
  <c r="T12" i="1" l="1"/>
  <c r="W12" i="1"/>
  <c r="Z12" i="1"/>
  <c r="AC12" i="1"/>
  <c r="AF12" i="1"/>
  <c r="AI12" i="1"/>
  <c r="AL12" i="1"/>
  <c r="J12" i="1" l="1"/>
  <c r="R14" i="1"/>
  <c r="U14" i="1"/>
  <c r="O34" i="1"/>
  <c r="AM30" i="1"/>
  <c r="AJ30" i="1"/>
  <c r="AG30" i="1"/>
  <c r="AD30" i="1"/>
  <c r="AA30" i="1"/>
  <c r="X30" i="1"/>
  <c r="U30" i="1"/>
  <c r="O30" i="1"/>
  <c r="R30" i="1"/>
  <c r="K30" i="1"/>
  <c r="H30" i="1"/>
  <c r="J30" i="1"/>
  <c r="G30" i="1"/>
  <c r="D30" i="1"/>
  <c r="J28" i="1"/>
  <c r="N28" i="1"/>
  <c r="AM28" i="1"/>
  <c r="AJ28" i="1"/>
  <c r="AG28" i="1"/>
  <c r="AD28" i="1"/>
  <c r="AA28" i="1"/>
  <c r="X28" i="1"/>
  <c r="U28" i="1"/>
  <c r="R28" i="1"/>
  <c r="O28" i="1"/>
  <c r="K28" i="1"/>
  <c r="H28" i="1"/>
  <c r="N34" i="1"/>
  <c r="Q34" i="1"/>
  <c r="T34" i="1"/>
  <c r="W34" i="1"/>
  <c r="Z34" i="1"/>
  <c r="AC34" i="1"/>
  <c r="AF34" i="1"/>
  <c r="Q28" i="1"/>
  <c r="T28" i="1"/>
  <c r="W28" i="1"/>
  <c r="Z28" i="1"/>
  <c r="AC28" i="1"/>
  <c r="AF28" i="1"/>
  <c r="AI28" i="1"/>
  <c r="AL28" i="1"/>
  <c r="AI34" i="1"/>
  <c r="AL34" i="1"/>
  <c r="H34" i="1"/>
  <c r="K34" i="1"/>
  <c r="R34" i="1"/>
  <c r="U34" i="1"/>
  <c r="X34" i="1"/>
  <c r="AA34" i="1"/>
  <c r="AD34" i="1"/>
  <c r="AG34" i="1"/>
  <c r="AJ34" i="1"/>
  <c r="AM34" i="1"/>
  <c r="AD32" i="1"/>
  <c r="AA32" i="1"/>
  <c r="X32" i="1"/>
  <c r="U32" i="1"/>
  <c r="R32" i="1"/>
  <c r="O32" i="1"/>
  <c r="K32" i="1"/>
  <c r="H32" i="1"/>
  <c r="E32" i="1"/>
  <c r="AL32" i="1"/>
  <c r="AI32" i="1"/>
  <c r="AF32" i="1"/>
  <c r="AM32" i="1"/>
  <c r="AJ32" i="1"/>
  <c r="AG32" i="1"/>
  <c r="Q16" i="1"/>
  <c r="S16" i="1" s="1"/>
  <c r="V16" i="1" s="1"/>
  <c r="Y16" i="1" s="1"/>
  <c r="AB16" i="1" s="1"/>
  <c r="AE16" i="1" s="1"/>
  <c r="AH16" i="1" s="1"/>
  <c r="AK16" i="1" s="1"/>
  <c r="AN16" i="1" s="1"/>
  <c r="T15" i="1"/>
  <c r="V15" i="1" s="1"/>
  <c r="Y15" i="1" s="1"/>
  <c r="AB15" i="1" s="1"/>
  <c r="AE15" i="1" s="1"/>
  <c r="AF15" i="1"/>
  <c r="S15" i="1"/>
  <c r="O31" i="1"/>
  <c r="AH15" i="1" l="1"/>
  <c r="AK15" i="1" s="1"/>
  <c r="AN15" i="1" s="1"/>
  <c r="AM17" i="1"/>
  <c r="AM14" i="1"/>
  <c r="AL9" i="1"/>
  <c r="AM12" i="1" s="1"/>
  <c r="AM9" i="1"/>
  <c r="AJ18" i="1"/>
  <c r="AJ14" i="1"/>
  <c r="AI9" i="1"/>
  <c r="AJ9" i="1"/>
  <c r="AI11" i="1"/>
  <c r="AJ17" i="1"/>
  <c r="AM29" i="1"/>
  <c r="AM25" i="1"/>
  <c r="AL26" i="1"/>
  <c r="AM20" i="1"/>
  <c r="AL20" i="1"/>
  <c r="AL8" i="1" s="1"/>
  <c r="AG14" i="1"/>
  <c r="AG15" i="1"/>
  <c r="AF9" i="1"/>
  <c r="AF29" i="1"/>
  <c r="AG16" i="1"/>
  <c r="AG18" i="1"/>
  <c r="AD17" i="1"/>
  <c r="AG9" i="1"/>
  <c r="AF11" i="1"/>
  <c r="AC29" i="1"/>
  <c r="AD14" i="1"/>
  <c r="AA14" i="1"/>
  <c r="AA9" i="1"/>
  <c r="Z9" i="1"/>
  <c r="X27" i="1"/>
  <c r="X14" i="1"/>
  <c r="X17" i="1"/>
  <c r="W29" i="1"/>
  <c r="W27" i="1"/>
  <c r="AJ29" i="1"/>
  <c r="AI26" i="1"/>
  <c r="AJ20" i="1"/>
  <c r="AI20" i="1"/>
  <c r="AI8" i="1" s="1"/>
  <c r="AG29" i="1"/>
  <c r="AF26" i="1"/>
  <c r="AG20" i="1"/>
  <c r="AF20" i="1"/>
  <c r="AF8" i="1" s="1"/>
  <c r="AC32" i="1"/>
  <c r="AD29" i="1"/>
  <c r="AC26" i="1"/>
  <c r="AD20" i="1"/>
  <c r="AC20" i="1"/>
  <c r="AC8" i="1" s="1"/>
  <c r="Z32" i="1"/>
  <c r="AA29" i="1"/>
  <c r="Z26" i="1"/>
  <c r="AA20" i="1"/>
  <c r="Z20" i="1"/>
  <c r="Z8" i="1" s="1"/>
  <c r="X29" i="1"/>
  <c r="U29" i="1"/>
  <c r="W32" i="1"/>
  <c r="AL25" i="1" l="1"/>
  <c r="AJ12" i="1"/>
  <c r="AI25" i="1"/>
  <c r="AF25" i="1"/>
  <c r="AC25" i="1"/>
  <c r="Z25" i="1"/>
  <c r="AA12" i="1"/>
  <c r="AD12" i="1"/>
  <c r="AG12" i="1"/>
  <c r="AJ25" i="1"/>
  <c r="AG25" i="1"/>
  <c r="AD25" i="1"/>
  <c r="AA25" i="1"/>
  <c r="U15" i="1"/>
  <c r="Q23" i="1"/>
  <c r="R16" i="1"/>
  <c r="Q32" i="1" l="1"/>
  <c r="N32" i="1"/>
  <c r="X12" i="1"/>
  <c r="H12" i="1"/>
  <c r="W26" i="1"/>
  <c r="T26" i="1"/>
  <c r="Q26" i="1"/>
  <c r="N26" i="1"/>
  <c r="J26" i="1"/>
  <c r="G26" i="1"/>
  <c r="T32" i="1"/>
  <c r="J32" i="1"/>
  <c r="G32" i="1"/>
  <c r="D32" i="1"/>
  <c r="D26" i="1"/>
  <c r="X20" i="1"/>
  <c r="W20" i="1"/>
  <c r="U20" i="1"/>
  <c r="T20" i="1"/>
  <c r="R20" i="1"/>
  <c r="Q20" i="1"/>
  <c r="Q12" i="1" s="1"/>
  <c r="O20" i="1"/>
  <c r="N20" i="1"/>
  <c r="N12" i="1" s="1"/>
  <c r="K20" i="1"/>
  <c r="J20" i="1"/>
  <c r="H20" i="1"/>
  <c r="G20" i="1"/>
  <c r="G12" i="1" s="1"/>
  <c r="R29" i="1"/>
  <c r="T30" i="1"/>
  <c r="R12" i="1"/>
  <c r="J33" i="1"/>
  <c r="T33" i="1"/>
  <c r="D35" i="1"/>
  <c r="E12" i="1" s="1"/>
  <c r="U12" i="1" l="1"/>
  <c r="P20" i="1"/>
  <c r="S20" i="1" s="1"/>
  <c r="V20" i="1" s="1"/>
  <c r="Y20" i="1" s="1"/>
  <c r="AB20" i="1" s="1"/>
  <c r="AE20" i="1" s="1"/>
  <c r="AH20" i="1" s="1"/>
  <c r="AK20" i="1" s="1"/>
  <c r="AN20" i="1" s="1"/>
  <c r="B12" i="1" l="1"/>
  <c r="B9" i="1" s="1"/>
  <c r="E20" i="1"/>
  <c r="M11" i="1"/>
  <c r="M12" i="1" s="1"/>
  <c r="M9" i="1" s="1"/>
  <c r="K8" i="1" l="1"/>
  <c r="H8" i="1"/>
  <c r="E8" i="1"/>
  <c r="AJ8" i="1"/>
  <c r="AD8" i="1"/>
  <c r="AA8" i="1"/>
  <c r="AM8" i="1"/>
  <c r="AG8" i="1"/>
  <c r="U8" i="1"/>
  <c r="X8" i="1"/>
  <c r="O8" i="1"/>
  <c r="R8" i="1"/>
  <c r="C35" i="1"/>
  <c r="C34" i="1"/>
  <c r="C33" i="1"/>
  <c r="F33" i="1" s="1"/>
  <c r="I33" i="1" s="1"/>
  <c r="L33" i="1" s="1"/>
  <c r="P33" i="1" s="1"/>
  <c r="S33" i="1" s="1"/>
  <c r="V33" i="1" s="1"/>
  <c r="Y33" i="1" s="1"/>
  <c r="AB33" i="1" s="1"/>
  <c r="AE33" i="1" s="1"/>
  <c r="AH33" i="1" s="1"/>
  <c r="AK33" i="1" s="1"/>
  <c r="AN33" i="1" s="1"/>
  <c r="C32" i="1"/>
  <c r="F32" i="1" s="1"/>
  <c r="I32" i="1" s="1"/>
  <c r="L32" i="1" s="1"/>
  <c r="P32" i="1" s="1"/>
  <c r="S32" i="1" s="1"/>
  <c r="V32" i="1" s="1"/>
  <c r="Y32" i="1" s="1"/>
  <c r="AB32" i="1" s="1"/>
  <c r="AE32" i="1" s="1"/>
  <c r="AH32" i="1" s="1"/>
  <c r="AK32" i="1" s="1"/>
  <c r="AN32" i="1" s="1"/>
  <c r="C31" i="1"/>
  <c r="F31" i="1" s="1"/>
  <c r="I31" i="1" s="1"/>
  <c r="L31" i="1" s="1"/>
  <c r="P31" i="1" s="1"/>
  <c r="S31" i="1" s="1"/>
  <c r="V31" i="1" s="1"/>
  <c r="Y31" i="1" s="1"/>
  <c r="AB31" i="1" s="1"/>
  <c r="AE31" i="1" s="1"/>
  <c r="AH31" i="1" s="1"/>
  <c r="AK31" i="1" s="1"/>
  <c r="AN31" i="1" s="1"/>
  <c r="C30" i="1"/>
  <c r="F30" i="1" s="1"/>
  <c r="I30" i="1" s="1"/>
  <c r="L30" i="1" s="1"/>
  <c r="P30" i="1" s="1"/>
  <c r="S30" i="1" s="1"/>
  <c r="V30" i="1" s="1"/>
  <c r="Y30" i="1" s="1"/>
  <c r="AB30" i="1" s="1"/>
  <c r="AE30" i="1" s="1"/>
  <c r="AH30" i="1" s="1"/>
  <c r="AK30" i="1" s="1"/>
  <c r="AN30" i="1" s="1"/>
  <c r="C29" i="1"/>
  <c r="F29" i="1" s="1"/>
  <c r="I29" i="1" s="1"/>
  <c r="L29" i="1" s="1"/>
  <c r="P29" i="1" s="1"/>
  <c r="S29" i="1" s="1"/>
  <c r="V29" i="1" s="1"/>
  <c r="Y29" i="1" s="1"/>
  <c r="AB29" i="1" s="1"/>
  <c r="AE29" i="1" s="1"/>
  <c r="AH29" i="1" s="1"/>
  <c r="AK29" i="1" s="1"/>
  <c r="AN29" i="1" s="1"/>
  <c r="C28" i="1"/>
  <c r="F28" i="1" s="1"/>
  <c r="I28" i="1" s="1"/>
  <c r="L28" i="1" s="1"/>
  <c r="P28" i="1" s="1"/>
  <c r="S28" i="1" s="1"/>
  <c r="V28" i="1" s="1"/>
  <c r="Y28" i="1" s="1"/>
  <c r="AB28" i="1" s="1"/>
  <c r="C27" i="1"/>
  <c r="F27" i="1" s="1"/>
  <c r="I27" i="1" s="1"/>
  <c r="L27" i="1" s="1"/>
  <c r="P27" i="1" s="1"/>
  <c r="S27" i="1" s="1"/>
  <c r="V27" i="1" s="1"/>
  <c r="Y27" i="1" s="1"/>
  <c r="AB27" i="1" s="1"/>
  <c r="AE27" i="1" s="1"/>
  <c r="AH27" i="1" s="1"/>
  <c r="AK27" i="1" s="1"/>
  <c r="AN27" i="1" s="1"/>
  <c r="C26" i="1"/>
  <c r="F26" i="1" s="1"/>
  <c r="I26" i="1" s="1"/>
  <c r="L26" i="1" s="1"/>
  <c r="P26" i="1" s="1"/>
  <c r="S26" i="1" s="1"/>
  <c r="V26" i="1" s="1"/>
  <c r="Y26" i="1" s="1"/>
  <c r="AB26" i="1" s="1"/>
  <c r="AE26" i="1" s="1"/>
  <c r="AH26" i="1" s="1"/>
  <c r="AK26" i="1" s="1"/>
  <c r="AN26" i="1" s="1"/>
  <c r="C24" i="1"/>
  <c r="F24" i="1" s="1"/>
  <c r="I24" i="1" s="1"/>
  <c r="C23" i="1"/>
  <c r="F23" i="1" s="1"/>
  <c r="I23" i="1" s="1"/>
  <c r="C22" i="1"/>
  <c r="F22" i="1" s="1"/>
  <c r="I22" i="1" s="1"/>
  <c r="C21" i="1"/>
  <c r="F21" i="1" s="1"/>
  <c r="I21" i="1" s="1"/>
  <c r="C20" i="1"/>
  <c r="C11" i="1"/>
  <c r="F11" i="1" s="1"/>
  <c r="C9" i="1"/>
  <c r="C8" i="1"/>
  <c r="N9" i="1"/>
  <c r="O12" i="1" s="1"/>
  <c r="J9" i="1"/>
  <c r="AE28" i="1" l="1"/>
  <c r="C25" i="1"/>
  <c r="AH28" i="1" l="1"/>
  <c r="L22" i="1"/>
  <c r="AK28" i="1" l="1"/>
  <c r="AN28" i="1" s="1"/>
  <c r="P22" i="1"/>
  <c r="S22" i="1" s="1"/>
  <c r="V22" i="1" s="1"/>
  <c r="Y22" i="1" s="1"/>
  <c r="AB22" i="1" s="1"/>
  <c r="AE22" i="1" s="1"/>
  <c r="AH22" i="1" s="1"/>
  <c r="AK22" i="1" s="1"/>
  <c r="AN22" i="1" s="1"/>
  <c r="D20" i="1"/>
  <c r="F20" i="1" l="1"/>
  <c r="I20" i="1" s="1"/>
  <c r="L20" i="1" s="1"/>
  <c r="L24" i="1" l="1"/>
  <c r="L21" i="1"/>
  <c r="L23" i="1"/>
  <c r="P23" i="1" l="1"/>
  <c r="S23" i="1" s="1"/>
  <c r="V23" i="1" s="1"/>
  <c r="Y23" i="1" s="1"/>
  <c r="AB23" i="1" s="1"/>
  <c r="AE23" i="1" s="1"/>
  <c r="AH23" i="1" s="1"/>
  <c r="AK23" i="1" s="1"/>
  <c r="AN23" i="1" s="1"/>
  <c r="P21" i="1"/>
  <c r="S21" i="1" s="1"/>
  <c r="V21" i="1" s="1"/>
  <c r="Y21" i="1" s="1"/>
  <c r="AB21" i="1" s="1"/>
  <c r="AE21" i="1" s="1"/>
  <c r="AH21" i="1" s="1"/>
  <c r="AK21" i="1" s="1"/>
  <c r="AN21" i="1" s="1"/>
  <c r="P24" i="1"/>
  <c r="S24" i="1" s="1"/>
  <c r="V24" i="1" s="1"/>
  <c r="Y24" i="1" s="1"/>
  <c r="AB24" i="1" s="1"/>
  <c r="AE24" i="1" s="1"/>
  <c r="AH24" i="1" s="1"/>
  <c r="AK24" i="1" s="1"/>
  <c r="AN24" i="1" s="1"/>
  <c r="H11" i="1"/>
  <c r="O9" i="1" l="1"/>
  <c r="K9" i="1"/>
  <c r="H9" i="1"/>
  <c r="E9" i="1"/>
  <c r="F9" i="1" s="1"/>
  <c r="I9" i="1" l="1"/>
  <c r="L9" i="1" s="1"/>
  <c r="P9" i="1" l="1"/>
  <c r="S9" i="1" s="1"/>
  <c r="V9" i="1" s="1"/>
  <c r="Y9" i="1" s="1"/>
  <c r="AB9" i="1" s="1"/>
  <c r="AE9" i="1" s="1"/>
  <c r="AH9" i="1" s="1"/>
  <c r="AK9" i="1" s="1"/>
  <c r="AN9" i="1" s="1"/>
  <c r="U25" i="1"/>
  <c r="T25" i="1" l="1"/>
  <c r="W25" i="1"/>
  <c r="Q25" i="1"/>
  <c r="X25" i="1"/>
  <c r="D25" i="1"/>
  <c r="J25" i="1" l="1"/>
  <c r="G25" i="1"/>
  <c r="N25" i="1" l="1"/>
  <c r="K25" i="1" l="1"/>
  <c r="H25" i="1"/>
  <c r="I11" i="1" l="1"/>
  <c r="L11" i="1" s="1"/>
  <c r="P11" i="1" l="1"/>
  <c r="S11" i="1" s="1"/>
  <c r="V11" i="1" s="1"/>
  <c r="Y11" i="1" s="1"/>
  <c r="AB11" i="1" s="1"/>
  <c r="AE11" i="1" s="1"/>
  <c r="AH11" i="1" s="1"/>
  <c r="AK11" i="1" s="1"/>
  <c r="AN11" i="1" s="1"/>
  <c r="C12" i="1" l="1"/>
  <c r="F12" i="1" s="1"/>
  <c r="I12" i="1" s="1"/>
  <c r="L12" i="1" s="1"/>
  <c r="P12" i="1" s="1"/>
  <c r="S12" i="1" s="1"/>
  <c r="V12" i="1" s="1"/>
  <c r="Y12" i="1" s="1"/>
  <c r="AB12" i="1" s="1"/>
  <c r="AE12" i="1" s="1"/>
  <c r="AH12" i="1" s="1"/>
  <c r="AK12" i="1" s="1"/>
  <c r="AN12" i="1" s="1"/>
  <c r="F8" i="1"/>
  <c r="I8" i="1" s="1"/>
  <c r="L8" i="1" s="1"/>
  <c r="F35" i="1"/>
  <c r="I35" i="1" s="1"/>
  <c r="L35" i="1" s="1"/>
  <c r="F34" i="1"/>
  <c r="I34" i="1" s="1"/>
  <c r="P35" i="1" l="1"/>
  <c r="L34" i="1"/>
  <c r="I25" i="1"/>
  <c r="E25" i="1"/>
  <c r="F25" i="1"/>
  <c r="O25" i="1" l="1"/>
  <c r="P8" i="1"/>
  <c r="P34" i="1"/>
  <c r="L25" i="1"/>
  <c r="P25" i="1" l="1"/>
  <c r="S8" i="1"/>
  <c r="V8" i="1" s="1"/>
  <c r="Y8" i="1" s="1"/>
  <c r="AB8" i="1" s="1"/>
  <c r="AE8" i="1" s="1"/>
  <c r="AH8" i="1" s="1"/>
  <c r="AK8" i="1" s="1"/>
  <c r="AN8" i="1" s="1"/>
  <c r="S34" i="1"/>
  <c r="V34" i="1" s="1"/>
  <c r="R25" i="1"/>
  <c r="S35" i="1" l="1"/>
  <c r="V35" i="1" s="1"/>
  <c r="Y35" i="1" s="1"/>
  <c r="AB35" i="1" s="1"/>
  <c r="AE35" i="1" s="1"/>
  <c r="AH35" i="1" s="1"/>
  <c r="AK35" i="1" s="1"/>
  <c r="AN35" i="1" s="1"/>
  <c r="Y34" i="1"/>
  <c r="Y25" i="1" l="1"/>
  <c r="AB34" i="1"/>
  <c r="S25" i="1"/>
  <c r="V25" i="1"/>
  <c r="AE34" i="1" l="1"/>
  <c r="AB25" i="1"/>
  <c r="AE25" i="1" l="1"/>
  <c r="AH34" i="1"/>
  <c r="AH25" i="1" l="1"/>
  <c r="AK34" i="1"/>
  <c r="AK25" i="1" l="1"/>
  <c r="AN34" i="1"/>
  <c r="AN25" i="1" s="1"/>
</calcChain>
</file>

<file path=xl/comments1.xml><?xml version="1.0" encoding="utf-8"?>
<comments xmlns="http://schemas.openxmlformats.org/spreadsheetml/2006/main">
  <authors>
    <author>Danton</author>
  </authors>
  <commentList>
    <comment ref="D8" authorId="0" shapeId="0">
      <text>
        <r>
          <rPr>
            <b/>
            <sz val="8"/>
            <color indexed="81"/>
            <rFont val="Tahoma"/>
            <family val="2"/>
            <charset val="204"/>
          </rPr>
          <t>Danton:</t>
        </r>
        <r>
          <rPr>
            <sz val="8"/>
            <color indexed="81"/>
            <rFont val="Tahoma"/>
            <family val="2"/>
            <charset val="204"/>
          </rPr>
          <t xml:space="preserve">
кв 62+57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  <charset val="204"/>
          </rPr>
          <t>Danton:</t>
        </r>
        <r>
          <rPr>
            <sz val="8"/>
            <color indexed="81"/>
            <rFont val="Tahoma"/>
            <family val="2"/>
            <charset val="204"/>
          </rPr>
          <t xml:space="preserve">
трактор+смена замков</t>
        </r>
      </text>
    </comment>
    <comment ref="R11" authorId="0" shapeId="0">
      <text>
        <r>
          <rPr>
            <b/>
            <sz val="8"/>
            <color indexed="81"/>
            <rFont val="Tahoma"/>
            <family val="2"/>
            <charset val="204"/>
          </rPr>
          <t>Danton:</t>
        </r>
        <r>
          <rPr>
            <sz val="8"/>
            <color indexed="81"/>
            <rFont val="Tahoma"/>
            <family val="2"/>
            <charset val="204"/>
          </rPr>
          <t xml:space="preserve">
телефоны для ворот</t>
        </r>
      </text>
    </comment>
  </commentList>
</comments>
</file>

<file path=xl/sharedStrings.xml><?xml version="1.0" encoding="utf-8"?>
<sst xmlns="http://schemas.openxmlformats.org/spreadsheetml/2006/main" count="132" uniqueCount="64">
  <si>
    <t>ДОХОД</t>
  </si>
  <si>
    <t>РАСХОД</t>
  </si>
  <si>
    <t>ОСТАТОК</t>
  </si>
  <si>
    <t>бухгалтер</t>
  </si>
  <si>
    <t>председатель ТСЖ</t>
  </si>
  <si>
    <t>январь 2019 г.</t>
  </si>
  <si>
    <t>февраль 2019 г.</t>
  </si>
  <si>
    <t>март 2019 г.</t>
  </si>
  <si>
    <t>апрель 2019 г.</t>
  </si>
  <si>
    <t>май 2019 г.</t>
  </si>
  <si>
    <t>июнь 2019 г.</t>
  </si>
  <si>
    <t>июль 2019 г.</t>
  </si>
  <si>
    <t>Налоги</t>
  </si>
  <si>
    <t>ФСС</t>
  </si>
  <si>
    <t>Судебное</t>
  </si>
  <si>
    <t>Дополнительные сборы</t>
  </si>
  <si>
    <t>Период отчета:</t>
  </si>
  <si>
    <t>Адрес дома:</t>
  </si>
  <si>
    <t>Хозяйственно-финансовый отчёт об управлении многоквартирным домом</t>
  </si>
  <si>
    <t>г. Пермь, ул. Макаренко 10а</t>
  </si>
  <si>
    <t>Общая площадь многоквартирного дома, кв.м.</t>
  </si>
  <si>
    <t>Теплоухов А.Н.</t>
  </si>
  <si>
    <t>Худяков В. С.</t>
  </si>
  <si>
    <t>Худякова А.С.</t>
  </si>
  <si>
    <t>Алексеева А.В.</t>
  </si>
  <si>
    <t>Петрофанов А.А.</t>
  </si>
  <si>
    <t>Ярушина Т.В.</t>
  </si>
  <si>
    <t>Управляющая организация</t>
  </si>
  <si>
    <t>ТСЖ "Макаренко 10А"</t>
  </si>
  <si>
    <t>Из них:</t>
  </si>
  <si>
    <t>комиссионный сбор банка за прием платежей ЖКУ</t>
  </si>
  <si>
    <t>ИТОГО собрано/перечислено</t>
  </si>
  <si>
    <t>изменение тарифа</t>
  </si>
  <si>
    <t>ФАКТ</t>
  </si>
  <si>
    <t>ПЛАН</t>
  </si>
  <si>
    <t>РАЗНИЦА</t>
  </si>
  <si>
    <t>ОДН Эл/эн ПЭК оплачено/начислено</t>
  </si>
  <si>
    <t>Лифт-Боард</t>
  </si>
  <si>
    <t>Лифт-Медиа</t>
  </si>
  <si>
    <t>МТС</t>
  </si>
  <si>
    <t>Дом.ру</t>
  </si>
  <si>
    <t>Оплата услуг УК факт/план итого</t>
  </si>
  <si>
    <t>с «01» января 2019 г. по «31» декабря 2019 г.</t>
  </si>
  <si>
    <t>Горячая кнопка собственникам факт/план</t>
  </si>
  <si>
    <t>Консьержи собственникам факт/план</t>
  </si>
  <si>
    <t>Ворота собственникам факт/план</t>
  </si>
  <si>
    <t>ОДН Эл/эн собственникам факт/план</t>
  </si>
  <si>
    <t>ОДН вода собственникам факт/план</t>
  </si>
  <si>
    <t>Собрано за ЖКУ факт/план</t>
  </si>
  <si>
    <t>затраты УК на текущий ремонт получено/затрачено (справочно)</t>
  </si>
  <si>
    <t>Аренда итого (факт/план):</t>
  </si>
  <si>
    <t>Горячая кнопка оплачено/начислено</t>
  </si>
  <si>
    <t>Консьержи оплачено/начислено</t>
  </si>
  <si>
    <t>Ворота оплачено/начислено</t>
  </si>
  <si>
    <t>ОДН вода Новогор оплачено/начислено</t>
  </si>
  <si>
    <t>август 2019 г.</t>
  </si>
  <si>
    <t>сентябрь 2019 г.</t>
  </si>
  <si>
    <t>октябрь 2019 г.</t>
  </si>
  <si>
    <t>ноябрь 2019 г.</t>
  </si>
  <si>
    <t>декабрь 2019 г.</t>
  </si>
  <si>
    <t>Входящий остаток</t>
  </si>
  <si>
    <t>Доход</t>
  </si>
  <si>
    <t>Расход</t>
  </si>
  <si>
    <t>Исходящий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</si>
</sst>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4" fontId="0" fillId="0" borderId="0" xfId="0" applyNumberFormat="1"/>
    <xf numFmtId="4" fontId="1" fillId="0" borderId="3" xfId="0" applyNumberFormat="1" applyFont="1" applyBorder="1" applyAlignment="1">
      <alignment horizontal="right" vertical="center"/>
    </xf>
    <xf numFmtId="164" fontId="0" fillId="0" borderId="0" xfId="0" applyNumberFormat="1"/>
    <xf numFmtId="164" fontId="4" fillId="0" borderId="0" xfId="0" applyNumberFormat="1" applyFont="1"/>
    <xf numFmtId="0" fontId="0" fillId="0" borderId="1" xfId="0" applyBorder="1" applyAlignment="1">
      <alignment horizontal="left"/>
    </xf>
    <xf numFmtId="4" fontId="0" fillId="0" borderId="1" xfId="0" applyNumberFormat="1" applyBorder="1"/>
    <xf numFmtId="16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0" fillId="2" borderId="0" xfId="0" applyFill="1"/>
    <xf numFmtId="4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 applyAlignment="1">
      <alignment wrapText="1"/>
    </xf>
    <xf numFmtId="0" fontId="6" fillId="0" borderId="0" xfId="0" applyFont="1"/>
    <xf numFmtId="0" fontId="0" fillId="0" borderId="0" xfId="0" applyAlignment="1"/>
    <xf numFmtId="164" fontId="0" fillId="0" borderId="0" xfId="0" applyNumberFormat="1" applyAlignment="1">
      <alignment horizontal="center"/>
    </xf>
    <xf numFmtId="4" fontId="7" fillId="0" borderId="1" xfId="0" applyNumberFormat="1" applyFont="1" applyBorder="1"/>
    <xf numFmtId="164" fontId="2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" fontId="7" fillId="0" borderId="3" xfId="0" applyNumberFormat="1" applyFon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2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" fontId="0" fillId="0" borderId="4" xfId="0" applyNumberFormat="1" applyBorder="1"/>
    <xf numFmtId="4" fontId="0" fillId="2" borderId="1" xfId="0" applyNumberFormat="1" applyFill="1" applyBorder="1"/>
    <xf numFmtId="4" fontId="0" fillId="0" borderId="2" xfId="0" applyNumberFormat="1" applyBorder="1"/>
    <xf numFmtId="164" fontId="0" fillId="0" borderId="5" xfId="0" applyNumberFormat="1" applyBorder="1"/>
    <xf numFmtId="164" fontId="3" fillId="2" borderId="6" xfId="0" applyNumberFormat="1" applyFont="1" applyFill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164" fontId="4" fillId="3" borderId="3" xfId="0" applyNumberFormat="1" applyFont="1" applyFill="1" applyBorder="1"/>
    <xf numFmtId="164" fontId="4" fillId="3" borderId="0" xfId="0" applyNumberFormat="1" applyFont="1" applyFill="1"/>
    <xf numFmtId="164" fontId="3" fillId="3" borderId="0" xfId="0" applyNumberFormat="1" applyFont="1" applyFill="1"/>
    <xf numFmtId="164" fontId="2" fillId="3" borderId="0" xfId="0" applyNumberFormat="1" applyFont="1" applyFill="1"/>
    <xf numFmtId="0" fontId="0" fillId="3" borderId="0" xfId="0" applyFill="1"/>
    <xf numFmtId="164" fontId="2" fillId="0" borderId="0" xfId="0" applyNumberFormat="1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vertical="center"/>
    </xf>
    <xf numFmtId="164" fontId="0" fillId="2" borderId="0" xfId="0" applyNumberFormat="1" applyFill="1"/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иска 2018"/>
    </sheetNames>
    <sheetDataSet>
      <sheetData sheetId="0">
        <row r="8">
          <cell r="R8">
            <v>-187762.36199999999</v>
          </cell>
        </row>
        <row r="9">
          <cell r="R9">
            <v>-229017.15000000002</v>
          </cell>
        </row>
        <row r="11">
          <cell r="R11">
            <v>-286154</v>
          </cell>
        </row>
        <row r="12">
          <cell r="R12">
            <v>37702.870000000039</v>
          </cell>
        </row>
        <row r="20">
          <cell r="R20">
            <v>-2850</v>
          </cell>
        </row>
        <row r="21">
          <cell r="R21">
            <v>-900</v>
          </cell>
        </row>
        <row r="22">
          <cell r="R22">
            <v>-450</v>
          </cell>
        </row>
        <row r="23">
          <cell r="R23">
            <v>0</v>
          </cell>
        </row>
        <row r="24">
          <cell r="R24">
            <v>-1500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-101757.6</v>
          </cell>
        </row>
        <row r="33">
          <cell r="R33">
            <v>-101757.6</v>
          </cell>
        </row>
        <row r="34">
          <cell r="R34">
            <v>0</v>
          </cell>
        </row>
        <row r="35">
          <cell r="R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2"/>
  <sheetViews>
    <sheetView tabSelected="1" zoomScaleNormal="100" workbookViewId="0">
      <pane xSplit="2" ySplit="6" topLeftCell="AD7" activePane="bottomRight" state="frozen"/>
      <selection pane="topRight" activeCell="C1" sqref="C1"/>
      <selection pane="bottomLeft" activeCell="A8" sqref="A8"/>
      <selection pane="bottomRight" activeCell="AQ32" sqref="AQ32"/>
    </sheetView>
  </sheetViews>
  <sheetFormatPr defaultRowHeight="15" x14ac:dyDescent="0.25"/>
  <cols>
    <col min="1" max="1" width="46" style="1" customWidth="1"/>
    <col min="2" max="2" width="12.140625" style="3" bestFit="1" customWidth="1"/>
    <col min="3" max="3" width="13" style="3" customWidth="1"/>
    <col min="4" max="4" width="13.28515625" style="5" customWidth="1"/>
    <col min="5" max="5" width="11.7109375" style="5" customWidth="1"/>
    <col min="6" max="6" width="12.140625" style="5" customWidth="1"/>
    <col min="7" max="7" width="11.5703125" style="5" customWidth="1"/>
    <col min="8" max="8" width="11.5703125" style="5" bestFit="1" customWidth="1"/>
    <col min="9" max="9" width="12.28515625" style="5" bestFit="1" customWidth="1"/>
    <col min="10" max="10" width="11.5703125" style="5" bestFit="1" customWidth="1"/>
    <col min="11" max="11" width="11.5703125" style="5" customWidth="1"/>
    <col min="12" max="12" width="12.28515625" style="5" customWidth="1"/>
    <col min="13" max="13" width="11.5703125" style="5" bestFit="1" customWidth="1"/>
    <col min="14" max="14" width="11.5703125" style="5" customWidth="1"/>
    <col min="15" max="15" width="12.28515625" style="5" bestFit="1" customWidth="1"/>
    <col min="16" max="16" width="14" style="5" customWidth="1"/>
    <col min="17" max="17" width="11.5703125" style="5" customWidth="1"/>
    <col min="18" max="18" width="12.28515625" style="5" bestFit="1" customWidth="1"/>
    <col min="19" max="19" width="13.5703125" style="5" customWidth="1"/>
    <col min="20" max="20" width="11.5703125" style="5" customWidth="1"/>
    <col min="21" max="21" width="12.28515625" style="5" bestFit="1" customWidth="1"/>
    <col min="22" max="22" width="13.28515625" style="5" customWidth="1"/>
    <col min="23" max="23" width="11.5703125" style="5" customWidth="1"/>
    <col min="24" max="24" width="12.28515625" style="5" bestFit="1" customWidth="1"/>
    <col min="25" max="25" width="13.28515625" style="5" customWidth="1"/>
    <col min="26" max="26" width="11.5703125" style="5" bestFit="1" customWidth="1"/>
    <col min="27" max="27" width="11.5703125" style="5" customWidth="1"/>
    <col min="28" max="28" width="13.85546875" style="5" bestFit="1" customWidth="1"/>
    <col min="29" max="29" width="11.5703125" style="5" bestFit="1" customWidth="1"/>
    <col min="30" max="30" width="11.5703125" style="5" customWidth="1"/>
    <col min="31" max="31" width="12.28515625" style="5" bestFit="1" customWidth="1"/>
    <col min="32" max="32" width="11.5703125" style="5" bestFit="1" customWidth="1"/>
    <col min="33" max="33" width="13" style="5" customWidth="1"/>
    <col min="34" max="34" width="12.28515625" style="5" bestFit="1" customWidth="1"/>
    <col min="35" max="35" width="11.5703125" style="5" bestFit="1" customWidth="1"/>
    <col min="36" max="36" width="11.5703125" style="5" customWidth="1"/>
    <col min="37" max="37" width="12.85546875" style="5" customWidth="1"/>
    <col min="38" max="39" width="11.5703125" style="5" customWidth="1"/>
    <col min="40" max="40" width="12.5703125" style="5" customWidth="1"/>
    <col min="41" max="41" width="12.28515625" style="5" bestFit="1" customWidth="1"/>
    <col min="42" max="43" width="13.140625" style="5" bestFit="1" customWidth="1"/>
    <col min="44" max="44" width="12.28515625" bestFit="1" customWidth="1"/>
  </cols>
  <sheetData>
    <row r="1" spans="1:44" ht="15.75" x14ac:dyDescent="0.25">
      <c r="A1" s="15" t="s">
        <v>18</v>
      </c>
      <c r="B1" s="15"/>
      <c r="C1" s="15"/>
      <c r="D1" s="15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J1"/>
      <c r="AL1"/>
      <c r="AM1"/>
      <c r="AN1"/>
      <c r="AO1"/>
      <c r="AP1"/>
      <c r="AQ1"/>
    </row>
    <row r="2" spans="1:44" x14ac:dyDescent="0.25">
      <c r="A2" t="s">
        <v>16</v>
      </c>
      <c r="B2" t="s">
        <v>42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B2"/>
      <c r="AC2"/>
      <c r="AD2"/>
      <c r="AE2"/>
      <c r="AF2"/>
      <c r="AL2"/>
      <c r="AM2"/>
      <c r="AN2"/>
      <c r="AO2"/>
      <c r="AP2"/>
      <c r="AQ2"/>
    </row>
    <row r="3" spans="1:44" x14ac:dyDescent="0.25">
      <c r="A3" t="s">
        <v>17</v>
      </c>
      <c r="B3" t="s">
        <v>19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L3"/>
      <c r="AM3"/>
      <c r="AN3"/>
      <c r="AO3"/>
      <c r="AP3"/>
      <c r="AQ3"/>
    </row>
    <row r="4" spans="1:44" ht="15.75" thickBot="1" x14ac:dyDescent="0.3">
      <c r="A4" s="49" t="s">
        <v>27</v>
      </c>
      <c r="B4" s="49"/>
      <c r="C4" s="49"/>
      <c r="D4" s="49"/>
      <c r="E4" t="s">
        <v>28</v>
      </c>
      <c r="F4" s="16"/>
      <c r="G4" s="1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L4"/>
      <c r="AM4"/>
      <c r="AN4"/>
      <c r="AO4"/>
      <c r="AP4"/>
      <c r="AQ4"/>
    </row>
    <row r="5" spans="1:44" ht="16.5" thickBot="1" x14ac:dyDescent="0.3">
      <c r="A5" s="50" t="s">
        <v>20</v>
      </c>
      <c r="B5" s="50"/>
      <c r="C5" s="50"/>
      <c r="D5" s="51"/>
      <c r="E5" s="14">
        <v>5218.8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AB5"/>
      <c r="AC5"/>
      <c r="AD5"/>
      <c r="AE5"/>
      <c r="AF5"/>
      <c r="AL5"/>
      <c r="AM5"/>
      <c r="AN5"/>
      <c r="AO5" t="s">
        <v>60</v>
      </c>
      <c r="AP5"/>
      <c r="AQ5"/>
      <c r="AR5" t="s">
        <v>63</v>
      </c>
    </row>
    <row r="6" spans="1:44" x14ac:dyDescent="0.25">
      <c r="D6" s="47"/>
      <c r="E6" s="26" t="s">
        <v>5</v>
      </c>
      <c r="F6" s="26"/>
      <c r="G6" s="26"/>
      <c r="H6" s="26" t="s">
        <v>6</v>
      </c>
      <c r="I6" s="26"/>
      <c r="J6" s="26"/>
      <c r="K6" s="26" t="s">
        <v>7</v>
      </c>
      <c r="L6" s="26"/>
      <c r="M6" s="9" t="s">
        <v>32</v>
      </c>
      <c r="N6" s="52" t="s">
        <v>8</v>
      </c>
      <c r="O6" s="52"/>
      <c r="P6" s="52"/>
      <c r="Q6" s="52" t="s">
        <v>9</v>
      </c>
      <c r="R6" s="52"/>
      <c r="S6" s="52"/>
      <c r="T6" s="52" t="s">
        <v>10</v>
      </c>
      <c r="U6" s="52"/>
      <c r="V6" s="52"/>
      <c r="W6" s="52" t="s">
        <v>11</v>
      </c>
      <c r="X6" s="52"/>
      <c r="Y6" s="52"/>
      <c r="Z6" s="52" t="s">
        <v>55</v>
      </c>
      <c r="AA6" s="52"/>
      <c r="AB6" s="52"/>
      <c r="AC6" s="52" t="s">
        <v>56</v>
      </c>
      <c r="AD6" s="52"/>
      <c r="AE6" s="52"/>
      <c r="AF6" s="52" t="s">
        <v>57</v>
      </c>
      <c r="AG6" s="52"/>
      <c r="AH6" s="52"/>
      <c r="AI6" s="52" t="s">
        <v>58</v>
      </c>
      <c r="AJ6" s="52"/>
      <c r="AK6" s="52"/>
      <c r="AL6" s="52" t="s">
        <v>59</v>
      </c>
      <c r="AM6" s="52"/>
      <c r="AN6" s="52"/>
      <c r="AP6" s="5" t="s">
        <v>61</v>
      </c>
      <c r="AQ6" s="5" t="s">
        <v>62</v>
      </c>
    </row>
    <row r="7" spans="1:44" x14ac:dyDescent="0.25">
      <c r="C7" s="5" t="s">
        <v>2</v>
      </c>
      <c r="D7" s="19" t="s">
        <v>33</v>
      </c>
      <c r="E7" s="5" t="s">
        <v>34</v>
      </c>
      <c r="F7" s="5" t="s">
        <v>35</v>
      </c>
      <c r="G7" s="19" t="s">
        <v>33</v>
      </c>
      <c r="H7" s="5" t="s">
        <v>34</v>
      </c>
      <c r="I7" s="5" t="s">
        <v>35</v>
      </c>
      <c r="J7" s="19" t="s">
        <v>33</v>
      </c>
      <c r="K7" s="5" t="s">
        <v>34</v>
      </c>
      <c r="L7" s="5" t="s">
        <v>35</v>
      </c>
      <c r="N7" s="19" t="s">
        <v>33</v>
      </c>
      <c r="O7" s="5" t="s">
        <v>34</v>
      </c>
      <c r="P7" s="5" t="s">
        <v>35</v>
      </c>
      <c r="Q7" s="19" t="s">
        <v>33</v>
      </c>
      <c r="R7" s="5" t="s">
        <v>34</v>
      </c>
      <c r="S7" s="5" t="s">
        <v>35</v>
      </c>
      <c r="T7" s="19" t="s">
        <v>33</v>
      </c>
      <c r="U7" s="5" t="s">
        <v>34</v>
      </c>
      <c r="V7" s="5" t="s">
        <v>35</v>
      </c>
      <c r="W7" s="19" t="s">
        <v>33</v>
      </c>
      <c r="X7" s="5" t="s">
        <v>34</v>
      </c>
      <c r="Y7" s="5" t="s">
        <v>35</v>
      </c>
      <c r="Z7" s="26" t="s">
        <v>33</v>
      </c>
      <c r="AA7" s="5" t="s">
        <v>34</v>
      </c>
      <c r="AB7" s="5" t="s">
        <v>35</v>
      </c>
      <c r="AC7" s="26" t="s">
        <v>33</v>
      </c>
      <c r="AD7" s="5" t="s">
        <v>34</v>
      </c>
      <c r="AE7" s="5" t="s">
        <v>35</v>
      </c>
      <c r="AF7" s="26" t="s">
        <v>33</v>
      </c>
      <c r="AG7" s="5" t="s">
        <v>34</v>
      </c>
      <c r="AH7" s="5" t="s">
        <v>35</v>
      </c>
      <c r="AI7" s="26" t="s">
        <v>33</v>
      </c>
      <c r="AJ7" s="5" t="s">
        <v>34</v>
      </c>
      <c r="AK7" s="5" t="s">
        <v>35</v>
      </c>
      <c r="AL7" s="26" t="s">
        <v>33</v>
      </c>
      <c r="AM7" s="5" t="s">
        <v>34</v>
      </c>
      <c r="AN7" s="5" t="s">
        <v>35</v>
      </c>
    </row>
    <row r="8" spans="1:44" ht="15.75" thickBot="1" x14ac:dyDescent="0.3">
      <c r="A8" s="1" t="s">
        <v>48</v>
      </c>
      <c r="B8" s="25"/>
      <c r="C8" s="5">
        <f>'[1]выписка 2018'!R8</f>
        <v>-187762.36199999999</v>
      </c>
      <c r="D8" s="23">
        <v>138709.43</v>
      </c>
      <c r="E8" s="21">
        <f>$B9+E20+E26+E28+E30+E32+E34</f>
        <v>170796.448</v>
      </c>
      <c r="F8" s="22">
        <f>C8+D8-E8</f>
        <v>-219849.38</v>
      </c>
      <c r="G8" s="23">
        <v>194478.6</v>
      </c>
      <c r="H8" s="21">
        <f>$B9+H20+H26+H28+H30+H32+H34</f>
        <v>170796.448</v>
      </c>
      <c r="I8" s="22">
        <f>F8+G8-H8</f>
        <v>-196167.228</v>
      </c>
      <c r="J8" s="23">
        <v>219657.13</v>
      </c>
      <c r="K8" s="21">
        <f>$B9+K20+K26+K28+K30+K32+K34</f>
        <v>170796.448</v>
      </c>
      <c r="L8" s="22">
        <f>I8+J8-K8</f>
        <v>-147306.546</v>
      </c>
      <c r="N8" s="23">
        <v>260433.75</v>
      </c>
      <c r="O8" s="21">
        <f>$B9+O20+O26+O28+O30+O32+O34</f>
        <v>264833.49800000002</v>
      </c>
      <c r="P8" s="22">
        <f>L8+N8-O8</f>
        <v>-151706.29400000002</v>
      </c>
      <c r="Q8" s="23">
        <v>222824</v>
      </c>
      <c r="R8" s="21">
        <f>$B9+R20+R26+R28+R30+R32+R34</f>
        <v>378621.288</v>
      </c>
      <c r="S8" s="22">
        <f>P8+Q8-R8</f>
        <v>-307503.58200000005</v>
      </c>
      <c r="T8" s="23">
        <f>134333.85-T20</f>
        <v>133583.85</v>
      </c>
      <c r="U8" s="21">
        <f>$B9+U20+U26+U28+U30+U32+U34</f>
        <v>218238.80799999999</v>
      </c>
      <c r="V8" s="22">
        <f>S8+T8-U8</f>
        <v>-392158.54000000004</v>
      </c>
      <c r="W8" s="23">
        <f>243770.02-57140.14-W20</f>
        <v>183329.88</v>
      </c>
      <c r="X8" s="21">
        <f>$B9+X20+X26+X28+X30+X32+X34</f>
        <v>222802.848</v>
      </c>
      <c r="Y8" s="22">
        <f>V8+W8-X8</f>
        <v>-431631.50800000003</v>
      </c>
      <c r="Z8" s="23">
        <f>176520.4-Z20</f>
        <v>176220.4</v>
      </c>
      <c r="AA8" s="21">
        <f>$B9+AA20+AA26+AA28+AA30+AA32+AA34</f>
        <v>224086.13800000001</v>
      </c>
      <c r="AB8" s="22">
        <f>Y8+Z8-AA8</f>
        <v>-479497.24600000004</v>
      </c>
      <c r="AC8" s="23">
        <f>221156.2-AC20</f>
        <v>220856.2</v>
      </c>
      <c r="AD8" s="21">
        <f>$B9+AD20+AD26+AD28+AD30+AD32+AD34</f>
        <v>218294.93799999999</v>
      </c>
      <c r="AE8" s="22">
        <f>AB8+AC8-AD8</f>
        <v>-476935.98400000005</v>
      </c>
      <c r="AF8" s="23">
        <f>230895.26-AF20</f>
        <v>224445.26</v>
      </c>
      <c r="AG8" s="21">
        <f>$B9+AG20+AG26+AG28+AG30+AG32+AG34</f>
        <v>210447.57799999998</v>
      </c>
      <c r="AH8" s="22">
        <f>AE8+AF8-AG8</f>
        <v>-462938.30200000003</v>
      </c>
      <c r="AI8" s="23">
        <f>231792.83-AI20</f>
        <v>231492.83</v>
      </c>
      <c r="AJ8" s="21">
        <f>$B9+AJ20+AJ26+AJ28+AJ30+AJ32+AJ34</f>
        <v>198355.978</v>
      </c>
      <c r="AK8" s="22">
        <f>AH8+AI8-AJ8</f>
        <v>-429801.45000000007</v>
      </c>
      <c r="AL8" s="23">
        <f>255205.34-AL20</f>
        <v>252955.34</v>
      </c>
      <c r="AM8" s="21">
        <f>$B9+AM20+AM26+AM28+AM30+AM32+AM34</f>
        <v>201222.728</v>
      </c>
      <c r="AN8" s="22">
        <f>AK8+AL8-AM8</f>
        <v>-378068.83800000011</v>
      </c>
      <c r="AO8" s="5">
        <f>C8</f>
        <v>-187762.36199999999</v>
      </c>
      <c r="AP8" s="5">
        <f>SUMIF($C7:$AN7,"ФАКТ",$C8:$AN8)</f>
        <v>2458986.67</v>
      </c>
      <c r="AQ8" s="5">
        <f>SUMIF($C7:$AN7,"ПЛАН",$C8:$AN8)</f>
        <v>2649293.1460000006</v>
      </c>
      <c r="AR8" s="5">
        <f>AO8+AP8-AQ8</f>
        <v>-378068.83800000092</v>
      </c>
    </row>
    <row r="9" spans="1:44" ht="15.75" thickBot="1" x14ac:dyDescent="0.3">
      <c r="A9" s="1" t="s">
        <v>41</v>
      </c>
      <c r="B9" s="20">
        <f>$E5*B12</f>
        <v>138089.448</v>
      </c>
      <c r="C9" s="5">
        <f>'[1]выписка 2018'!R9</f>
        <v>-229017.15000000002</v>
      </c>
      <c r="D9" s="23">
        <v>133810.03</v>
      </c>
      <c r="E9" s="21">
        <f>$B9</f>
        <v>138089.448</v>
      </c>
      <c r="F9" s="22">
        <f>C9+D9-E9</f>
        <v>-233296.56800000003</v>
      </c>
      <c r="G9" s="23">
        <v>85098.38</v>
      </c>
      <c r="H9" s="21">
        <f>$B9</f>
        <v>138089.448</v>
      </c>
      <c r="I9" s="22">
        <f>F9+G9-H9</f>
        <v>-286287.63600000006</v>
      </c>
      <c r="J9" s="23">
        <f>100000+40000</f>
        <v>140000</v>
      </c>
      <c r="K9" s="21">
        <f>$B9</f>
        <v>138089.448</v>
      </c>
      <c r="L9" s="22">
        <f>I9+J9-K9</f>
        <v>-284377.08400000003</v>
      </c>
      <c r="M9" s="20">
        <f>$E5*M12</f>
        <v>129530.61600000001</v>
      </c>
      <c r="N9" s="23">
        <f>50000+40000</f>
        <v>90000</v>
      </c>
      <c r="O9" s="21">
        <f>$B9</f>
        <v>138089.448</v>
      </c>
      <c r="P9" s="22">
        <f>L9+N9-O9</f>
        <v>-332466.53200000001</v>
      </c>
      <c r="Q9" s="23"/>
      <c r="R9" s="21">
        <v>69723.17</v>
      </c>
      <c r="S9" s="22">
        <f>P9+Q9-R9</f>
        <v>-402189.70199999999</v>
      </c>
      <c r="T9" s="23">
        <v>133810.03</v>
      </c>
      <c r="U9" s="21">
        <v>69723.17</v>
      </c>
      <c r="V9" s="22">
        <f>S9+T9-U9</f>
        <v>-338102.842</v>
      </c>
      <c r="W9" s="23">
        <v>69723.17</v>
      </c>
      <c r="X9" s="21">
        <v>69723.17</v>
      </c>
      <c r="Y9" s="22">
        <f>V9+W9-X9</f>
        <v>-338102.842</v>
      </c>
      <c r="Z9" s="23">
        <f>50406+69723.17</f>
        <v>120129.17</v>
      </c>
      <c r="AA9" s="21">
        <f>50406+69723.17</f>
        <v>120129.17</v>
      </c>
      <c r="AB9" s="22">
        <f>Y9+Z9-AA9</f>
        <v>-338102.842</v>
      </c>
      <c r="AC9" s="23">
        <v>69723.17</v>
      </c>
      <c r="AD9" s="21">
        <v>69723.17</v>
      </c>
      <c r="AE9" s="22">
        <f>AB9+AC9-AD9</f>
        <v>-338102.842</v>
      </c>
      <c r="AF9" s="23">
        <f>4720+17147+69827.54</f>
        <v>91694.54</v>
      </c>
      <c r="AG9" s="21">
        <f>69723.17+4720+17147</f>
        <v>91590.17</v>
      </c>
      <c r="AH9" s="22">
        <f>AE9+AF9-AG9</f>
        <v>-337998.47200000001</v>
      </c>
      <c r="AI9" s="23">
        <f>26695.8+32800+6700+69827.54</f>
        <v>136023.34</v>
      </c>
      <c r="AJ9" s="21">
        <f>69723.17+26695.8+32800+6700</f>
        <v>135918.97</v>
      </c>
      <c r="AK9" s="22">
        <f>AH9+AI9-AJ9</f>
        <v>-337894.10200000001</v>
      </c>
      <c r="AL9" s="23">
        <f>64840.64+3000</f>
        <v>67840.639999999999</v>
      </c>
      <c r="AM9" s="21">
        <f>69723.17+3000</f>
        <v>72723.17</v>
      </c>
      <c r="AN9" s="22">
        <f>AK9+AL9-AM9</f>
        <v>-342776.63199999998</v>
      </c>
      <c r="AO9" s="5">
        <f>C9</f>
        <v>-229017.15000000002</v>
      </c>
      <c r="AP9" s="5">
        <f>SUMIF($C7:$AN7,"ФАКТ",$C9:$AN9)</f>
        <v>1137852.4700000002</v>
      </c>
      <c r="AQ9" s="5">
        <f>SUMIF($C7:$AN7,"ПЛАН",$C9:$AN9)</f>
        <v>1251611.9520000003</v>
      </c>
      <c r="AR9" s="5">
        <f>AO9+AP9-AQ9</f>
        <v>-342776.6320000001</v>
      </c>
    </row>
    <row r="10" spans="1:44" ht="16.5" thickBot="1" x14ac:dyDescent="0.3">
      <c r="B10" s="4">
        <v>7.36</v>
      </c>
      <c r="C10" s="5" t="s">
        <v>2</v>
      </c>
      <c r="D10" s="5" t="s">
        <v>0</v>
      </c>
      <c r="E10" s="5" t="s">
        <v>1</v>
      </c>
      <c r="F10" s="5" t="s">
        <v>2</v>
      </c>
      <c r="G10" s="5" t="s">
        <v>0</v>
      </c>
      <c r="H10" s="5" t="s">
        <v>1</v>
      </c>
      <c r="I10" s="5" t="s">
        <v>2</v>
      </c>
      <c r="J10" s="5" t="s">
        <v>0</v>
      </c>
      <c r="K10" s="5" t="s">
        <v>1</v>
      </c>
      <c r="L10" s="5" t="s">
        <v>2</v>
      </c>
      <c r="M10" s="14">
        <v>5.52</v>
      </c>
      <c r="N10" s="5" t="s">
        <v>0</v>
      </c>
      <c r="O10" s="5" t="s">
        <v>1</v>
      </c>
      <c r="P10" s="5" t="s">
        <v>2</v>
      </c>
      <c r="Q10" s="5" t="s">
        <v>0</v>
      </c>
      <c r="R10" s="5" t="s">
        <v>1</v>
      </c>
      <c r="S10" s="5" t="s">
        <v>2</v>
      </c>
      <c r="T10" s="5" t="s">
        <v>0</v>
      </c>
      <c r="U10" s="5" t="s">
        <v>1</v>
      </c>
      <c r="V10" s="5" t="s">
        <v>2</v>
      </c>
      <c r="W10" s="5" t="s">
        <v>0</v>
      </c>
      <c r="X10" s="5" t="s">
        <v>1</v>
      </c>
      <c r="Y10" s="5" t="s">
        <v>2</v>
      </c>
      <c r="Z10" s="5" t="s">
        <v>0</v>
      </c>
      <c r="AA10" s="5" t="s">
        <v>1</v>
      </c>
      <c r="AB10" s="5" t="s">
        <v>2</v>
      </c>
      <c r="AC10" s="5" t="s">
        <v>0</v>
      </c>
      <c r="AD10" s="5" t="s">
        <v>1</v>
      </c>
      <c r="AE10" s="5" t="s">
        <v>2</v>
      </c>
      <c r="AF10" s="5" t="s">
        <v>0</v>
      </c>
      <c r="AG10" s="5" t="s">
        <v>1</v>
      </c>
      <c r="AH10" s="5" t="s">
        <v>2</v>
      </c>
      <c r="AI10" s="5" t="s">
        <v>0</v>
      </c>
      <c r="AJ10" s="5" t="s">
        <v>1</v>
      </c>
      <c r="AK10" s="5" t="s">
        <v>2</v>
      </c>
      <c r="AL10" s="5" t="s">
        <v>0</v>
      </c>
      <c r="AM10" s="5" t="s">
        <v>1</v>
      </c>
      <c r="AN10" s="5" t="s">
        <v>2</v>
      </c>
    </row>
    <row r="11" spans="1:44" ht="32.25" thickBot="1" x14ac:dyDescent="0.3">
      <c r="A11" s="2" t="s">
        <v>49</v>
      </c>
      <c r="B11" s="4">
        <v>18.28</v>
      </c>
      <c r="C11" s="5">
        <f>'[1]выписка 2018'!R11</f>
        <v>-286154</v>
      </c>
      <c r="D11" s="23"/>
      <c r="E11" s="21"/>
      <c r="F11" s="22">
        <f>C11+D11-E11</f>
        <v>-286154</v>
      </c>
      <c r="G11" s="23"/>
      <c r="H11" s="21">
        <f>29000+6040</f>
        <v>35040</v>
      </c>
      <c r="I11" s="22">
        <f>F11+G11-H11</f>
        <v>-321194</v>
      </c>
      <c r="J11" s="23"/>
      <c r="K11" s="21">
        <v>29808</v>
      </c>
      <c r="L11" s="22">
        <f>I11+J11-K11</f>
        <v>-351002</v>
      </c>
      <c r="M11" s="14">
        <f>12.17+7.13</f>
        <v>19.3</v>
      </c>
      <c r="N11" s="23"/>
      <c r="O11" s="21"/>
      <c r="P11" s="22">
        <f t="shared" ref="P11:P12" si="0">L11+N11-O11</f>
        <v>-351002</v>
      </c>
      <c r="Q11" s="23"/>
      <c r="R11" s="21">
        <v>1700</v>
      </c>
      <c r="S11" s="22">
        <f>P11+Q11-R11</f>
        <v>-352702</v>
      </c>
      <c r="T11" s="23"/>
      <c r="U11" s="21"/>
      <c r="V11" s="22">
        <f>S11+T11-U11</f>
        <v>-352702</v>
      </c>
      <c r="W11" s="23"/>
      <c r="X11" s="21"/>
      <c r="Y11" s="22">
        <f>V11+W11-X11</f>
        <v>-352702</v>
      </c>
      <c r="Z11" s="23">
        <v>50406</v>
      </c>
      <c r="AA11" s="21"/>
      <c r="AB11" s="22">
        <f>Y11+Z11-AA11</f>
        <v>-302296</v>
      </c>
      <c r="AC11" s="23"/>
      <c r="AD11" s="21"/>
      <c r="AE11" s="22">
        <f>AB11+AC11-AD11</f>
        <v>-302296</v>
      </c>
      <c r="AF11" s="23">
        <f>4720+17147</f>
        <v>21867</v>
      </c>
      <c r="AG11" s="21"/>
      <c r="AH11" s="22">
        <f>AE11+AF11-AG11</f>
        <v>-280429</v>
      </c>
      <c r="AI11" s="23">
        <f>26695.86+32800+6700</f>
        <v>66195.86</v>
      </c>
      <c r="AJ11" s="21"/>
      <c r="AK11" s="22">
        <f>AH11+AI11-AJ11</f>
        <v>-214233.14</v>
      </c>
      <c r="AL11" s="23">
        <v>3000</v>
      </c>
      <c r="AM11" s="21"/>
      <c r="AN11" s="22">
        <f>AK11+AL11-AM11</f>
        <v>-211233.14</v>
      </c>
      <c r="AO11" s="5">
        <f>C11</f>
        <v>-286154</v>
      </c>
      <c r="AP11" s="5">
        <f>SUMIF($C$10:$AN$10,"ДОХОД",$C11:$AN11)</f>
        <v>141468.85999999999</v>
      </c>
      <c r="AQ11" s="5">
        <f>SUMIF($C$10:$AN$10,"РАСХОД",$C11:$AN11)</f>
        <v>66548</v>
      </c>
      <c r="AR11" s="5">
        <f>AO11+AP11-AQ11</f>
        <v>-211233.14</v>
      </c>
    </row>
    <row r="12" spans="1:44" s="24" customFormat="1" ht="16.5" thickBot="1" x14ac:dyDescent="0.3">
      <c r="A12" s="11" t="s">
        <v>31</v>
      </c>
      <c r="B12" s="12">
        <f>B11+B10+0.82</f>
        <v>26.46</v>
      </c>
      <c r="C12" s="5">
        <f>'[1]выписка 2018'!R12</f>
        <v>37702.870000000039</v>
      </c>
      <c r="D12" s="23">
        <f>D8+1021.65+1369.17+D14+SUM(D17:D20)</f>
        <v>143200.25</v>
      </c>
      <c r="E12" s="21">
        <f>D9+SUM(E14:E19)+D27+D29+D31+D33+D35</f>
        <v>164702.71</v>
      </c>
      <c r="F12" s="22">
        <f>C12+D12-E12</f>
        <v>16200.410000000062</v>
      </c>
      <c r="G12" s="23">
        <f>G8+G14+SUM(G17:G20)</f>
        <v>194478.6</v>
      </c>
      <c r="H12" s="21">
        <f>G9+SUM(H14:H19)+G27+G29+G31+G33+G35</f>
        <v>98569.16</v>
      </c>
      <c r="I12" s="22">
        <f>F12+G12-H12</f>
        <v>112109.85000000006</v>
      </c>
      <c r="J12" s="23">
        <f>J8+J14+SUM(J17:J20)</f>
        <v>219657.13</v>
      </c>
      <c r="K12" s="21">
        <f>J9+SUM(K14:K19)+J27+J29+J31+J33+J35+18368.02</f>
        <v>197254.31</v>
      </c>
      <c r="L12" s="22">
        <f>I12+J12-K12</f>
        <v>134512.6700000001</v>
      </c>
      <c r="M12" s="14">
        <f>M10+M11</f>
        <v>24.82</v>
      </c>
      <c r="N12" s="23">
        <f>N8+N14+SUM(N17:N20)</f>
        <v>260883.75</v>
      </c>
      <c r="O12" s="21">
        <f>N9+SUM(O14:O19)+N27+N29+N31+N33+N35</f>
        <v>294510.34999999998</v>
      </c>
      <c r="P12" s="22">
        <f t="shared" si="0"/>
        <v>100886.07000000012</v>
      </c>
      <c r="Q12" s="23">
        <f>Q8+Q14+SUM(Q17:Q20)</f>
        <v>251001.94</v>
      </c>
      <c r="R12" s="21">
        <f>Q9+SUM(R14:R19)+Q27+Q29+Q31+Q33+Q35</f>
        <v>153702.78999999998</v>
      </c>
      <c r="S12" s="22">
        <f>P12+Q12-R12</f>
        <v>198185.22000000015</v>
      </c>
      <c r="T12" s="23">
        <f>T8+T14+SUM(T17:T20)</f>
        <v>134333.85</v>
      </c>
      <c r="U12" s="21">
        <f>T9+SUM(U14:U19)+T27+T29+T31+T33+T35</f>
        <v>253464.87</v>
      </c>
      <c r="V12" s="22">
        <f>S12+T12-U12</f>
        <v>79054.200000000186</v>
      </c>
      <c r="W12" s="23">
        <f>W8+W14+SUM(W17:W20)</f>
        <v>186629.88</v>
      </c>
      <c r="X12" s="21">
        <f>W9+SUM(X14:X19)+W27+W29+W31+W33+W35</f>
        <v>194493.77</v>
      </c>
      <c r="Y12" s="22">
        <f>V12+W12-X12</f>
        <v>71190.310000000201</v>
      </c>
      <c r="Z12" s="23">
        <f>Z8+Z14+SUM(Z17:Z20)</f>
        <v>176520.4</v>
      </c>
      <c r="AA12" s="21">
        <f>Z9+SUM(AA14:AA19)+Z27+Z29+Z31+Z33+Z35</f>
        <v>223629.65999999997</v>
      </c>
      <c r="AB12" s="22">
        <f>Y12+Z12-AA12</f>
        <v>24081.050000000221</v>
      </c>
      <c r="AC12" s="23">
        <f>AC8+AC14+SUM(AC17:AC20)</f>
        <v>221156.2</v>
      </c>
      <c r="AD12" s="21">
        <f>AC9+SUM(AD14:AD19)+AC27+AC29+AC31+AC33+AC35</f>
        <v>171023.27999999997</v>
      </c>
      <c r="AE12" s="22">
        <f>AB12+AC12-AD12</f>
        <v>74213.970000000263</v>
      </c>
      <c r="AF12" s="23">
        <f>AF8+AF14+SUM(AF17:AF20)</f>
        <v>230895.26</v>
      </c>
      <c r="AG12" s="21">
        <f>AF9+SUM(AG14:AG19)+AF27+AF29+AF31+AF33+AF35</f>
        <v>240605.77999999997</v>
      </c>
      <c r="AH12" s="22">
        <f>AE12+AF12-AG12</f>
        <v>64503.450000000303</v>
      </c>
      <c r="AI12" s="23">
        <f>AI8+AI14+SUM(AI17:AI20)</f>
        <v>231792.83</v>
      </c>
      <c r="AJ12" s="21">
        <f>AI9+SUM(AJ14:AJ19)+AI27+AI29+AI31+AI33+AI35</f>
        <v>219362.44999999998</v>
      </c>
      <c r="AK12" s="22">
        <f>AH12+AI12-AJ12</f>
        <v>76933.830000000278</v>
      </c>
      <c r="AL12" s="23">
        <f>AL8+AL14+SUM(AL17:AL20)</f>
        <v>255205.34</v>
      </c>
      <c r="AM12" s="21">
        <f>AL9+SUM(AM14:AM19)+AL27+AL29+AL31+AL33+AL35</f>
        <v>139729.60999999999</v>
      </c>
      <c r="AN12" s="22">
        <f>AK12+AL12-AM12</f>
        <v>192409.56000000029</v>
      </c>
      <c r="AO12" s="5">
        <f>C12</f>
        <v>37702.870000000039</v>
      </c>
      <c r="AP12" s="5">
        <f>SUMIF($C$10:$AN$10,"ДОХОД",$C12:$AN12)</f>
        <v>2505755.4299999997</v>
      </c>
      <c r="AQ12" s="5">
        <f>SUMIF($C$10:$AN$10,"РАСХОД",$C12:$AN12)</f>
        <v>2351048.7399999998</v>
      </c>
      <c r="AR12" s="5">
        <f>AO12+AP12-AQ12</f>
        <v>192409.56000000006</v>
      </c>
    </row>
    <row r="13" spans="1:44" s="13" customFormat="1" ht="16.5" thickBot="1" x14ac:dyDescent="0.3">
      <c r="A13" s="38" t="s">
        <v>29</v>
      </c>
      <c r="B13" s="39"/>
      <c r="C13" s="40"/>
      <c r="D13" s="41"/>
      <c r="E13" s="42"/>
      <c r="F13" s="40"/>
      <c r="G13" s="41"/>
      <c r="H13" s="42"/>
      <c r="I13" s="40"/>
      <c r="J13" s="41"/>
      <c r="K13" s="42"/>
      <c r="L13" s="40"/>
      <c r="M13" s="41"/>
      <c r="N13" s="42"/>
      <c r="O13" s="40"/>
      <c r="P13" s="41"/>
      <c r="Q13" s="42"/>
      <c r="R13" s="40"/>
      <c r="S13" s="41"/>
      <c r="T13" s="42"/>
      <c r="U13" s="40"/>
      <c r="V13" s="41"/>
      <c r="W13" s="42"/>
      <c r="X13" s="40"/>
      <c r="Y13" s="43"/>
      <c r="Z13" s="42"/>
      <c r="AA13" s="40"/>
      <c r="AB13" s="43"/>
      <c r="AC13" s="42"/>
      <c r="AD13" s="40"/>
      <c r="AE13" s="43"/>
      <c r="AF13" s="42"/>
      <c r="AG13" s="40"/>
      <c r="AH13" s="43"/>
      <c r="AI13" s="42"/>
      <c r="AJ13" s="40"/>
      <c r="AK13" s="43"/>
      <c r="AL13" s="42"/>
      <c r="AM13" s="40"/>
      <c r="AN13" s="43"/>
      <c r="AO13" s="48"/>
    </row>
    <row r="14" spans="1:44" ht="32.25" thickBot="1" x14ac:dyDescent="0.3">
      <c r="A14" s="2" t="s">
        <v>30</v>
      </c>
      <c r="B14" s="4"/>
      <c r="C14" s="5"/>
      <c r="E14" s="5">
        <v>5213.88</v>
      </c>
      <c r="H14" s="5">
        <v>7430.78</v>
      </c>
      <c r="K14" s="5">
        <v>8786.2900000000009</v>
      </c>
      <c r="O14" s="5">
        <v>10417.35</v>
      </c>
      <c r="R14" s="5">
        <f>8912.96+25+25</f>
        <v>8962.9599999999991</v>
      </c>
      <c r="U14" s="5">
        <f>1000+50+25+50+2250+25+25+25</f>
        <v>3450</v>
      </c>
      <c r="X14" s="5">
        <f>1000+75+50+25+50+25</f>
        <v>1225</v>
      </c>
      <c r="AA14" s="5">
        <f>1000+50+25+50+50+25</f>
        <v>1200</v>
      </c>
      <c r="AD14" s="5">
        <f>1000+50+100</f>
        <v>1150</v>
      </c>
      <c r="AG14" s="5">
        <f>1000+50+25+75+25+50+25+25</f>
        <v>1275</v>
      </c>
      <c r="AJ14" s="5">
        <f>1000+25+100+25+25+25+50+25</f>
        <v>1275</v>
      </c>
      <c r="AM14" s="5">
        <f>1000+150+25</f>
        <v>1175</v>
      </c>
    </row>
    <row r="15" spans="1:44" ht="16.5" thickBot="1" x14ac:dyDescent="0.3">
      <c r="A15" s="2" t="s">
        <v>3</v>
      </c>
      <c r="B15" s="4"/>
      <c r="C15" s="5"/>
      <c r="Q15" s="46">
        <v>12000</v>
      </c>
      <c r="R15" s="44"/>
      <c r="S15" s="45">
        <f>P15-Q15+R15</f>
        <v>-12000</v>
      </c>
      <c r="T15" s="46">
        <f>12000+911.5</f>
        <v>12911.5</v>
      </c>
      <c r="U15" s="44">
        <f>12911.5+12000</f>
        <v>24911.5</v>
      </c>
      <c r="V15" s="45">
        <f>S15-T15+U15</f>
        <v>0</v>
      </c>
      <c r="W15" s="46">
        <v>12000</v>
      </c>
      <c r="X15" s="44">
        <v>12000</v>
      </c>
      <c r="Y15" s="45">
        <f>V15-W15+X15</f>
        <v>0</v>
      </c>
      <c r="Z15" s="46">
        <v>12000</v>
      </c>
      <c r="AA15" s="44">
        <v>12000</v>
      </c>
      <c r="AB15" s="45">
        <f>Y15-Z15+AA15</f>
        <v>0</v>
      </c>
      <c r="AC15" s="46">
        <v>12000</v>
      </c>
      <c r="AD15" s="44">
        <v>12000</v>
      </c>
      <c r="AE15" s="45">
        <f>AB15-AC15+AD15</f>
        <v>0</v>
      </c>
      <c r="AF15" s="46">
        <f>12000+6100</f>
        <v>18100</v>
      </c>
      <c r="AG15" s="44">
        <f>12000+6100</f>
        <v>18100</v>
      </c>
      <c r="AH15" s="45">
        <f>AE15-AF15+AG15</f>
        <v>0</v>
      </c>
      <c r="AI15" s="46">
        <v>12000</v>
      </c>
      <c r="AJ15" s="44">
        <v>12000</v>
      </c>
      <c r="AK15" s="45">
        <f>AH15-AI15+AJ15</f>
        <v>0</v>
      </c>
      <c r="AL15" s="46">
        <v>12000</v>
      </c>
      <c r="AM15" s="44">
        <v>12000</v>
      </c>
      <c r="AN15" s="45">
        <f>AK15-AL15+AM15</f>
        <v>0</v>
      </c>
    </row>
    <row r="16" spans="1:44" ht="16.5" thickBot="1" x14ac:dyDescent="0.3">
      <c r="A16" s="2" t="s">
        <v>4</v>
      </c>
      <c r="B16" s="4"/>
      <c r="C16" s="5"/>
      <c r="O16" s="5">
        <v>10000</v>
      </c>
      <c r="Q16" s="46">
        <f>10000+1700</f>
        <v>11700</v>
      </c>
      <c r="R16" s="44">
        <f>10000+1700</f>
        <v>11700</v>
      </c>
      <c r="S16" s="45">
        <f>P16-Q16+R16</f>
        <v>0</v>
      </c>
      <c r="T16" s="46">
        <v>10000</v>
      </c>
      <c r="U16" s="44">
        <v>10000</v>
      </c>
      <c r="V16" s="45">
        <f>S16-T16+U16</f>
        <v>0</v>
      </c>
      <c r="W16" s="46">
        <v>10000</v>
      </c>
      <c r="X16" s="44">
        <v>10000</v>
      </c>
      <c r="Y16" s="45">
        <f>V16-W16+X16</f>
        <v>0</v>
      </c>
      <c r="Z16" s="46">
        <v>10000</v>
      </c>
      <c r="AA16" s="44">
        <v>10000</v>
      </c>
      <c r="AB16" s="45">
        <f>Y16-Z16+AA16</f>
        <v>0</v>
      </c>
      <c r="AC16" s="46">
        <v>10000</v>
      </c>
      <c r="AD16" s="44"/>
      <c r="AE16" s="45">
        <f>AB16-AC16+AD16</f>
        <v>-10000</v>
      </c>
      <c r="AF16" s="46">
        <v>10000</v>
      </c>
      <c r="AG16" s="44">
        <f>10000+10000</f>
        <v>20000</v>
      </c>
      <c r="AH16" s="45">
        <f>AE16-AF16+AG16</f>
        <v>0</v>
      </c>
      <c r="AI16" s="46">
        <v>10000</v>
      </c>
      <c r="AJ16" s="44">
        <v>10000</v>
      </c>
      <c r="AK16" s="45">
        <f>AH16-AI16+AJ16</f>
        <v>0</v>
      </c>
      <c r="AL16" s="46"/>
      <c r="AM16" s="44"/>
      <c r="AN16" s="45">
        <f>AK16-AL16+AM16</f>
        <v>0</v>
      </c>
    </row>
    <row r="17" spans="1:44" ht="15.75" thickBot="1" x14ac:dyDescent="0.3">
      <c r="A17" s="7" t="s">
        <v>12</v>
      </c>
      <c r="B17" s="8"/>
      <c r="C17" s="5"/>
      <c r="K17" s="5">
        <v>100</v>
      </c>
      <c r="R17" s="5">
        <f>1494+800</f>
        <v>2294</v>
      </c>
      <c r="U17" s="5">
        <v>43.98</v>
      </c>
      <c r="X17" s="5">
        <f>1494+12688</f>
        <v>14182</v>
      </c>
      <c r="AA17" s="5">
        <v>1495</v>
      </c>
      <c r="AD17" s="5">
        <f>1758.58+7586.04</f>
        <v>9344.619999999999</v>
      </c>
      <c r="AG17" s="5">
        <v>1494</v>
      </c>
      <c r="AJ17" s="5">
        <f>24.17+42.5+1000+1494</f>
        <v>2560.67</v>
      </c>
      <c r="AM17" s="5">
        <f>24.17+42.5+183.33</f>
        <v>250</v>
      </c>
    </row>
    <row r="18" spans="1:44" ht="15.75" thickBot="1" x14ac:dyDescent="0.3">
      <c r="A18" s="7" t="s">
        <v>13</v>
      </c>
      <c r="B18" s="8"/>
      <c r="C18" s="5"/>
      <c r="AG18" s="5">
        <f>586.2+2528.68</f>
        <v>3114.88</v>
      </c>
      <c r="AJ18" s="5">
        <f>183.33+586.19+2528.68</f>
        <v>3298.2</v>
      </c>
    </row>
    <row r="19" spans="1:44" ht="15.75" thickBot="1" x14ac:dyDescent="0.3">
      <c r="A19" s="7" t="s">
        <v>14</v>
      </c>
      <c r="B19" s="31"/>
      <c r="C19" s="5"/>
      <c r="H19" s="5">
        <v>6040</v>
      </c>
      <c r="I19" s="6"/>
      <c r="L19" s="6"/>
      <c r="O19" s="6"/>
      <c r="Q19" s="5">
        <v>26977.94</v>
      </c>
      <c r="R19" s="6">
        <v>26977.94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4" ht="15.75" thickBot="1" x14ac:dyDescent="0.3">
      <c r="A20" s="7" t="s">
        <v>50</v>
      </c>
      <c r="B20" s="8"/>
      <c r="C20" s="27">
        <f>'[1]выписка 2018'!R20</f>
        <v>-2850</v>
      </c>
      <c r="D20" s="30">
        <f>SUM(D21:D24)</f>
        <v>2100</v>
      </c>
      <c r="E20" s="28">
        <f>SUM(E21:E24)</f>
        <v>1400</v>
      </c>
      <c r="F20" s="29">
        <f>C20+D20-E20</f>
        <v>-2150</v>
      </c>
      <c r="G20" s="30">
        <f>SUM(G21:G24)</f>
        <v>0</v>
      </c>
      <c r="H20" s="28">
        <f>SUM(H21:H24)</f>
        <v>1400</v>
      </c>
      <c r="I20" s="29">
        <f>F20+G20-H20</f>
        <v>-3550</v>
      </c>
      <c r="J20" s="30">
        <f>SUM(J21:J24)</f>
        <v>0</v>
      </c>
      <c r="K20" s="28">
        <f>SUM(K21:K24)</f>
        <v>1400</v>
      </c>
      <c r="L20" s="29">
        <f>I20+J20-K20</f>
        <v>-4950</v>
      </c>
      <c r="M20" s="30"/>
      <c r="N20" s="28">
        <f>SUM(N21:N24)</f>
        <v>450</v>
      </c>
      <c r="O20" s="29">
        <f>SUM(O21:O24)</f>
        <v>1400</v>
      </c>
      <c r="P20" s="30">
        <f>M20+N20-O20</f>
        <v>-950</v>
      </c>
      <c r="Q20" s="28">
        <f>SUM(Q21:Q24)</f>
        <v>1200</v>
      </c>
      <c r="R20" s="29">
        <f>SUM(R21:R24)</f>
        <v>1400</v>
      </c>
      <c r="S20" s="30">
        <f>P20+Q20-R20</f>
        <v>-1150</v>
      </c>
      <c r="T20" s="28">
        <f>SUM(T21:T24)</f>
        <v>750</v>
      </c>
      <c r="U20" s="29">
        <f>SUM(U21:U24)</f>
        <v>1400</v>
      </c>
      <c r="V20" s="30">
        <f>S20+T20-U20</f>
        <v>-1800</v>
      </c>
      <c r="W20" s="28">
        <f>SUM(W21:W24)</f>
        <v>3300</v>
      </c>
      <c r="X20" s="29">
        <f>SUM(X21:X24)</f>
        <v>1400</v>
      </c>
      <c r="Y20" s="30">
        <f>V20+W20-X20</f>
        <v>100</v>
      </c>
      <c r="Z20" s="28">
        <f>SUM(Z21:Z24)</f>
        <v>300</v>
      </c>
      <c r="AA20" s="29">
        <f>SUM(AA21:AA24)</f>
        <v>1400</v>
      </c>
      <c r="AB20" s="30">
        <f>Y20+Z20-AA20</f>
        <v>-1000</v>
      </c>
      <c r="AC20" s="28">
        <f>SUM(AC21:AC24)</f>
        <v>300</v>
      </c>
      <c r="AD20" s="29">
        <f>SUM(AD21:AD24)</f>
        <v>1400</v>
      </c>
      <c r="AE20" s="30">
        <f>AB20+AC20-AD20</f>
        <v>-2100</v>
      </c>
      <c r="AF20" s="28">
        <f>SUM(AF21:AF24)</f>
        <v>6450</v>
      </c>
      <c r="AG20" s="29">
        <f>SUM(AG21:AG24)</f>
        <v>1400</v>
      </c>
      <c r="AH20" s="30">
        <f>AE20+AF20-AG20</f>
        <v>2950</v>
      </c>
      <c r="AI20" s="28">
        <f>SUM(AI21:AI24)</f>
        <v>300</v>
      </c>
      <c r="AJ20" s="29">
        <f>SUM(AJ21:AJ24)</f>
        <v>1400</v>
      </c>
      <c r="AK20" s="30">
        <f>AH20+AI20-AJ20</f>
        <v>1850</v>
      </c>
      <c r="AL20" s="28">
        <f>SUM(AL21:AL24)</f>
        <v>2250</v>
      </c>
      <c r="AM20" s="29">
        <f>SUM(AM21:AM24)</f>
        <v>1400</v>
      </c>
      <c r="AN20" s="30">
        <f>AK20+AL20-AM20</f>
        <v>2700</v>
      </c>
    </row>
    <row r="21" spans="1:44" ht="15.75" thickBot="1" x14ac:dyDescent="0.3">
      <c r="A21" s="7" t="s">
        <v>37</v>
      </c>
      <c r="B21" s="33"/>
      <c r="C21" s="5">
        <f>'[1]выписка 2018'!R21</f>
        <v>-900</v>
      </c>
      <c r="D21" s="23">
        <v>2100</v>
      </c>
      <c r="E21" s="21">
        <v>450</v>
      </c>
      <c r="F21" s="22">
        <f t="shared" ref="F21:F24" si="1">C21+D21-E21</f>
        <v>750</v>
      </c>
      <c r="G21" s="23"/>
      <c r="H21" s="21">
        <v>450</v>
      </c>
      <c r="I21" s="22">
        <f t="shared" ref="I21:I24" si="2">F21+G21-H21</f>
        <v>300</v>
      </c>
      <c r="J21" s="23"/>
      <c r="K21" s="21">
        <v>450</v>
      </c>
      <c r="L21" s="22">
        <f t="shared" ref="L21:L24" si="3">I21+J21-K21</f>
        <v>-150</v>
      </c>
      <c r="M21" s="23"/>
      <c r="N21" s="23"/>
      <c r="O21" s="21">
        <v>450</v>
      </c>
      <c r="P21" s="22">
        <f t="shared" ref="P21:P35" si="4">L21+N21-O21</f>
        <v>-600</v>
      </c>
      <c r="Q21" s="23"/>
      <c r="R21" s="21">
        <v>450</v>
      </c>
      <c r="S21" s="22">
        <f t="shared" ref="S21:S22" si="5">P21+Q21-R21</f>
        <v>-1050</v>
      </c>
      <c r="T21" s="23"/>
      <c r="U21" s="21">
        <v>450</v>
      </c>
      <c r="V21" s="22">
        <f t="shared" ref="V21:V24" si="6">S21+T21-U21</f>
        <v>-1500</v>
      </c>
      <c r="W21" s="23"/>
      <c r="X21" s="21">
        <v>450</v>
      </c>
      <c r="Y21" s="22">
        <f t="shared" ref="Y21:Y24" si="7">V21+W21-X21</f>
        <v>-1950</v>
      </c>
      <c r="Z21" s="23"/>
      <c r="AA21" s="21">
        <v>450</v>
      </c>
      <c r="AB21" s="22">
        <f t="shared" ref="AB21:AB24" si="8">Y21+Z21-AA21</f>
        <v>-2400</v>
      </c>
      <c r="AC21" s="23"/>
      <c r="AD21" s="21">
        <v>450</v>
      </c>
      <c r="AE21" s="22">
        <f t="shared" ref="AE21:AE24" si="9">AB21+AC21-AD21</f>
        <v>-2850</v>
      </c>
      <c r="AF21" s="23">
        <v>4200</v>
      </c>
      <c r="AG21" s="21">
        <v>450</v>
      </c>
      <c r="AH21" s="22">
        <f t="shared" ref="AH21:AH24" si="10">AE21+AF21-AG21</f>
        <v>900</v>
      </c>
      <c r="AI21" s="23"/>
      <c r="AJ21" s="21">
        <v>450</v>
      </c>
      <c r="AK21" s="22">
        <f t="shared" ref="AK21:AK24" si="11">AH21+AI21-AJ21</f>
        <v>450</v>
      </c>
      <c r="AL21" s="23"/>
      <c r="AM21" s="21">
        <v>450</v>
      </c>
      <c r="AN21" s="22">
        <f t="shared" ref="AN21:AN24" si="12">AK21+AL21-AM21</f>
        <v>0</v>
      </c>
      <c r="AO21" s="5">
        <f t="shared" ref="AO21:AO24" si="13">C21</f>
        <v>-900</v>
      </c>
      <c r="AP21" s="5">
        <f t="shared" ref="AP21:AP24" si="14">SUMIF($C$10:$AN$10,"ДОХОД",$C21:$AN21)</f>
        <v>6300</v>
      </c>
      <c r="AQ21" s="5">
        <f t="shared" ref="AQ21:AQ24" si="15">SUMIF($C$10:$AN$10,"РАСХОД",$C21:$AN21)</f>
        <v>5400</v>
      </c>
      <c r="AR21" s="5">
        <f t="shared" ref="AR21:AR24" si="16">AO21+AP21-AQ21</f>
        <v>0</v>
      </c>
    </row>
    <row r="22" spans="1:44" ht="15.75" thickBot="1" x14ac:dyDescent="0.3">
      <c r="A22" s="7" t="s">
        <v>38</v>
      </c>
      <c r="B22" s="8"/>
      <c r="C22" s="5">
        <f>'[1]выписка 2018'!R22</f>
        <v>-450</v>
      </c>
      <c r="D22" s="23"/>
      <c r="E22" s="21">
        <v>150</v>
      </c>
      <c r="F22" s="22">
        <f t="shared" si="1"/>
        <v>-600</v>
      </c>
      <c r="G22" s="23"/>
      <c r="H22" s="21">
        <v>150</v>
      </c>
      <c r="I22" s="22">
        <f t="shared" si="2"/>
        <v>-750</v>
      </c>
      <c r="J22" s="23"/>
      <c r="K22" s="21">
        <v>150</v>
      </c>
      <c r="L22" s="22">
        <f t="shared" si="3"/>
        <v>-900</v>
      </c>
      <c r="M22" s="23"/>
      <c r="N22" s="23">
        <v>450</v>
      </c>
      <c r="O22" s="21">
        <v>150</v>
      </c>
      <c r="P22" s="22">
        <f t="shared" si="4"/>
        <v>-600</v>
      </c>
      <c r="Q22" s="23"/>
      <c r="R22" s="21">
        <v>150</v>
      </c>
      <c r="S22" s="22">
        <f t="shared" si="5"/>
        <v>-750</v>
      </c>
      <c r="T22" s="23">
        <v>450</v>
      </c>
      <c r="U22" s="21">
        <v>150</v>
      </c>
      <c r="V22" s="22">
        <f t="shared" si="6"/>
        <v>-450</v>
      </c>
      <c r="W22" s="23"/>
      <c r="X22" s="21">
        <v>150</v>
      </c>
      <c r="Y22" s="22">
        <f t="shared" si="7"/>
        <v>-600</v>
      </c>
      <c r="Z22" s="23"/>
      <c r="AA22" s="21">
        <v>150</v>
      </c>
      <c r="AB22" s="22">
        <f t="shared" si="8"/>
        <v>-750</v>
      </c>
      <c r="AC22" s="23"/>
      <c r="AD22" s="21">
        <v>150</v>
      </c>
      <c r="AE22" s="22">
        <f t="shared" si="9"/>
        <v>-900</v>
      </c>
      <c r="AF22" s="23">
        <v>450</v>
      </c>
      <c r="AG22" s="21">
        <v>150</v>
      </c>
      <c r="AH22" s="22">
        <f t="shared" si="10"/>
        <v>-600</v>
      </c>
      <c r="AI22" s="23"/>
      <c r="AJ22" s="21">
        <v>150</v>
      </c>
      <c r="AK22" s="22">
        <f t="shared" si="11"/>
        <v>-750</v>
      </c>
      <c r="AL22" s="23">
        <v>450</v>
      </c>
      <c r="AM22" s="21">
        <v>150</v>
      </c>
      <c r="AN22" s="22">
        <f t="shared" si="12"/>
        <v>-450</v>
      </c>
      <c r="AO22" s="5">
        <f t="shared" si="13"/>
        <v>-450</v>
      </c>
      <c r="AP22" s="5">
        <f t="shared" si="14"/>
        <v>1800</v>
      </c>
      <c r="AQ22" s="5">
        <f t="shared" si="15"/>
        <v>1800</v>
      </c>
      <c r="AR22" s="5">
        <f t="shared" si="16"/>
        <v>-450</v>
      </c>
    </row>
    <row r="23" spans="1:44" ht="15.75" thickBot="1" x14ac:dyDescent="0.3">
      <c r="A23" s="7" t="s">
        <v>39</v>
      </c>
      <c r="B23" s="8"/>
      <c r="C23" s="5">
        <f>'[1]выписка 2018'!R23</f>
        <v>0</v>
      </c>
      <c r="D23" s="23"/>
      <c r="E23" s="21">
        <v>300</v>
      </c>
      <c r="F23" s="22">
        <f t="shared" si="1"/>
        <v>-300</v>
      </c>
      <c r="G23" s="23"/>
      <c r="H23" s="21">
        <v>300</v>
      </c>
      <c r="I23" s="22">
        <f t="shared" si="2"/>
        <v>-600</v>
      </c>
      <c r="J23" s="23"/>
      <c r="K23" s="21">
        <v>300</v>
      </c>
      <c r="L23" s="22">
        <f t="shared" si="3"/>
        <v>-900</v>
      </c>
      <c r="M23" s="23"/>
      <c r="N23" s="23"/>
      <c r="O23" s="21">
        <v>300</v>
      </c>
      <c r="P23" s="22">
        <f>L23+N23-O23</f>
        <v>-1200</v>
      </c>
      <c r="Q23" s="23">
        <f>300+300+300+300</f>
        <v>1200</v>
      </c>
      <c r="R23" s="21">
        <v>300</v>
      </c>
      <c r="S23" s="22">
        <f>P23+Q23-R23</f>
        <v>-300</v>
      </c>
      <c r="T23" s="23">
        <v>300</v>
      </c>
      <c r="U23" s="21">
        <v>300</v>
      </c>
      <c r="V23" s="22">
        <f t="shared" si="6"/>
        <v>-300</v>
      </c>
      <c r="W23" s="23">
        <v>300</v>
      </c>
      <c r="X23" s="21">
        <v>300</v>
      </c>
      <c r="Y23" s="22">
        <f t="shared" si="7"/>
        <v>-300</v>
      </c>
      <c r="Z23" s="23"/>
      <c r="AA23" s="21">
        <v>300</v>
      </c>
      <c r="AB23" s="22">
        <f t="shared" si="8"/>
        <v>-600</v>
      </c>
      <c r="AC23" s="23">
        <v>300</v>
      </c>
      <c r="AD23" s="21">
        <v>300</v>
      </c>
      <c r="AE23" s="22">
        <f t="shared" si="9"/>
        <v>-600</v>
      </c>
      <c r="AF23" s="23">
        <v>300</v>
      </c>
      <c r="AG23" s="21">
        <v>300</v>
      </c>
      <c r="AH23" s="22">
        <f t="shared" si="10"/>
        <v>-600</v>
      </c>
      <c r="AI23" s="23">
        <v>300</v>
      </c>
      <c r="AJ23" s="21">
        <v>300</v>
      </c>
      <c r="AK23" s="22">
        <f t="shared" si="11"/>
        <v>-600</v>
      </c>
      <c r="AL23" s="23">
        <v>300</v>
      </c>
      <c r="AM23" s="21">
        <v>300</v>
      </c>
      <c r="AN23" s="22">
        <f t="shared" si="12"/>
        <v>-600</v>
      </c>
      <c r="AO23" s="5">
        <f t="shared" si="13"/>
        <v>0</v>
      </c>
      <c r="AP23" s="5">
        <f t="shared" si="14"/>
        <v>3000</v>
      </c>
      <c r="AQ23" s="5">
        <f t="shared" si="15"/>
        <v>3600</v>
      </c>
      <c r="AR23" s="5">
        <f t="shared" si="16"/>
        <v>-600</v>
      </c>
    </row>
    <row r="24" spans="1:44" ht="15.75" thickBot="1" x14ac:dyDescent="0.3">
      <c r="A24" s="7" t="s">
        <v>40</v>
      </c>
      <c r="B24" s="31"/>
      <c r="C24" s="5">
        <f>'[1]выписка 2018'!R24</f>
        <v>-1500</v>
      </c>
      <c r="D24" s="23"/>
      <c r="E24" s="21">
        <v>500</v>
      </c>
      <c r="F24" s="22">
        <f t="shared" si="1"/>
        <v>-2000</v>
      </c>
      <c r="G24" s="23"/>
      <c r="H24" s="21">
        <v>500</v>
      </c>
      <c r="I24" s="22">
        <f t="shared" si="2"/>
        <v>-2500</v>
      </c>
      <c r="J24" s="23"/>
      <c r="K24" s="21">
        <v>500</v>
      </c>
      <c r="L24" s="22">
        <f t="shared" si="3"/>
        <v>-3000</v>
      </c>
      <c r="M24" s="23"/>
      <c r="N24" s="23"/>
      <c r="O24" s="21">
        <v>500</v>
      </c>
      <c r="P24" s="22">
        <f>L24+N24-O24</f>
        <v>-3500</v>
      </c>
      <c r="Q24" s="23"/>
      <c r="R24" s="21">
        <v>500</v>
      </c>
      <c r="S24" s="22">
        <f>P24+Q24-R24</f>
        <v>-4000</v>
      </c>
      <c r="T24" s="23"/>
      <c r="U24" s="21">
        <v>500</v>
      </c>
      <c r="V24" s="22">
        <f t="shared" si="6"/>
        <v>-4500</v>
      </c>
      <c r="W24" s="23">
        <v>3000</v>
      </c>
      <c r="X24" s="21">
        <v>500</v>
      </c>
      <c r="Y24" s="22">
        <f t="shared" si="7"/>
        <v>-2000</v>
      </c>
      <c r="Z24" s="23">
        <v>300</v>
      </c>
      <c r="AA24" s="21">
        <v>500</v>
      </c>
      <c r="AB24" s="22">
        <f t="shared" si="8"/>
        <v>-2200</v>
      </c>
      <c r="AC24" s="23"/>
      <c r="AD24" s="21">
        <v>500</v>
      </c>
      <c r="AE24" s="22">
        <f t="shared" si="9"/>
        <v>-2700</v>
      </c>
      <c r="AF24" s="23">
        <v>1500</v>
      </c>
      <c r="AG24" s="21">
        <v>500</v>
      </c>
      <c r="AH24" s="22">
        <f t="shared" si="10"/>
        <v>-1700</v>
      </c>
      <c r="AI24" s="23"/>
      <c r="AJ24" s="21">
        <v>500</v>
      </c>
      <c r="AK24" s="22">
        <f t="shared" si="11"/>
        <v>-2200</v>
      </c>
      <c r="AL24" s="23">
        <v>1500</v>
      </c>
      <c r="AM24" s="21">
        <v>500</v>
      </c>
      <c r="AN24" s="22">
        <f t="shared" si="12"/>
        <v>-1200</v>
      </c>
      <c r="AO24" s="5">
        <f t="shared" si="13"/>
        <v>-1500</v>
      </c>
      <c r="AP24" s="5">
        <f t="shared" si="14"/>
        <v>6300</v>
      </c>
      <c r="AQ24" s="5">
        <f t="shared" si="15"/>
        <v>6000</v>
      </c>
      <c r="AR24" s="5">
        <f t="shared" si="16"/>
        <v>-1200</v>
      </c>
    </row>
    <row r="25" spans="1:44" ht="15.75" thickBot="1" x14ac:dyDescent="0.3">
      <c r="A25" s="10" t="s">
        <v>15</v>
      </c>
      <c r="B25" s="32"/>
      <c r="C25" s="30">
        <f>SUM(C26:C35)</f>
        <v>-203515.2</v>
      </c>
      <c r="D25" s="30">
        <f t="shared" ref="D25" si="17">SUM(D26:D35)</f>
        <v>94880.088000000003</v>
      </c>
      <c r="E25" s="28">
        <f t="shared" ref="E25" si="18">SUM(E26:E35)</f>
        <v>63667.6</v>
      </c>
      <c r="F25" s="29">
        <f>SUM(F26:F35)</f>
        <v>-172302.712</v>
      </c>
      <c r="G25" s="30">
        <f>SUM(G26:G35)</f>
        <v>69201.288</v>
      </c>
      <c r="H25" s="28">
        <f t="shared" ref="H25" si="19">SUM(H26:H35)</f>
        <v>61920.55</v>
      </c>
      <c r="I25" s="29">
        <f t="shared" ref="I25" si="20">SUM(I26:I35)</f>
        <v>-165021.97399999999</v>
      </c>
      <c r="J25" s="30">
        <f>SUM(J26:J35)</f>
        <v>144914.08799999999</v>
      </c>
      <c r="K25" s="28">
        <f t="shared" ref="K25" si="21">SUM(K26:K35)</f>
        <v>131806.69999999998</v>
      </c>
      <c r="L25" s="29">
        <f t="shared" ref="L25" si="22">SUM(L26:L35)</f>
        <v>-151914.58599999995</v>
      </c>
      <c r="M25" s="30"/>
      <c r="N25" s="28">
        <f>SUM(N26:N35)</f>
        <v>263127.83799999999</v>
      </c>
      <c r="O25" s="29">
        <f t="shared" ref="O25" si="23">SUM(O26:O35)</f>
        <v>338708.14</v>
      </c>
      <c r="P25" s="30">
        <f t="shared" ref="P25" si="24">SUM(P26:P35)</f>
        <v>-227494.88799999998</v>
      </c>
      <c r="Q25" s="28">
        <f>SUM(Q26:Q35)</f>
        <v>196188.95</v>
      </c>
      <c r="R25" s="29">
        <f t="shared" ref="R25" si="25">SUM(R26:R35)</f>
        <v>309296.10000000003</v>
      </c>
      <c r="S25" s="30">
        <f t="shared" ref="S25" si="26">SUM(S26:S35)</f>
        <v>-340602.03799999994</v>
      </c>
      <c r="T25" s="28">
        <f t="shared" ref="T25" si="27">SUM(T26:T35)</f>
        <v>196998.45599999998</v>
      </c>
      <c r="U25" s="29">
        <f t="shared" ref="U25" si="28">SUM(U26:U35)</f>
        <v>136141.10999999999</v>
      </c>
      <c r="V25" s="30">
        <f>SUM(V26:V35)</f>
        <v>-279744.69199999998</v>
      </c>
      <c r="W25" s="28">
        <f t="shared" ref="W25" si="29">SUM(W26:W35)</f>
        <v>168616.42799999999</v>
      </c>
      <c r="X25" s="29">
        <f t="shared" ref="X25" si="30">SUM(X26:X35)</f>
        <v>155339.81</v>
      </c>
      <c r="Y25" s="30">
        <f t="shared" ref="Y25" si="31">SUM(Y26:Y35)</f>
        <v>-266468.07399999991</v>
      </c>
      <c r="Z25" s="28">
        <f t="shared" ref="Z25" si="32">SUM(Z26:Z35)</f>
        <v>158075.174</v>
      </c>
      <c r="AA25" s="29">
        <f t="shared" ref="AA25" si="33">SUM(AA26:AA35)</f>
        <v>154424.09999999998</v>
      </c>
      <c r="AB25" s="30">
        <f t="shared" ref="AB25" si="34">SUM(AB26:AB35)</f>
        <v>-262816.99999999994</v>
      </c>
      <c r="AC25" s="28">
        <f t="shared" ref="AC25" si="35">SUM(AC26:AC35)</f>
        <v>158075.174</v>
      </c>
      <c r="AD25" s="29">
        <f t="shared" ref="AD25" si="36">SUM(AD26:AD35)</f>
        <v>149763.62</v>
      </c>
      <c r="AE25" s="30">
        <f t="shared" ref="AE25" si="37">SUM(AE26:AE35)</f>
        <v>-254505.44599999994</v>
      </c>
      <c r="AF25" s="28">
        <f t="shared" ref="AF25" si="38">SUM(AF26:AF35)</f>
        <v>162956.52799999999</v>
      </c>
      <c r="AG25" s="29">
        <f t="shared" ref="AG25" si="39">SUM(AG26:AG35)</f>
        <v>129824.66</v>
      </c>
      <c r="AH25" s="30">
        <f t="shared" ref="AH25" si="40">SUM(AH26:AH35)</f>
        <v>-221373.57799999992</v>
      </c>
      <c r="AI25" s="28">
        <f t="shared" ref="AI25" si="41">SUM(AI26:AI35)</f>
        <v>112234.40800000001</v>
      </c>
      <c r="AJ25" s="29">
        <f t="shared" ref="AJ25" si="42">SUM(AJ26:AJ35)</f>
        <v>120599.81000000001</v>
      </c>
      <c r="AK25" s="30">
        <f t="shared" ref="AK25" si="43">SUM(AK26:AK35)</f>
        <v>-229738.97999999995</v>
      </c>
      <c r="AL25" s="28">
        <f t="shared" ref="AL25" si="44">SUM(AL26:AL35)</f>
        <v>116075.63399999999</v>
      </c>
      <c r="AM25" s="29">
        <f t="shared" ref="AM25" si="45">SUM(AM26:AM35)</f>
        <v>121200.69</v>
      </c>
      <c r="AN25" s="30">
        <f t="shared" ref="AN25" si="46">SUM(AN26:AN35)</f>
        <v>-234864.03599999993</v>
      </c>
    </row>
    <row r="26" spans="1:44" ht="15.75" thickBot="1" x14ac:dyDescent="0.3">
      <c r="A26" s="7" t="s">
        <v>43</v>
      </c>
      <c r="B26" s="33"/>
      <c r="C26" s="5">
        <f>'[1]выписка 2018'!R26</f>
        <v>0</v>
      </c>
      <c r="D26" s="23">
        <f>0.26*$E$5</f>
        <v>1356.8880000000001</v>
      </c>
      <c r="E26" s="21">
        <v>1307</v>
      </c>
      <c r="F26" s="22">
        <f>C26+D26-E26</f>
        <v>49.888000000000147</v>
      </c>
      <c r="G26" s="23">
        <f>0.26*$E$5</f>
        <v>1356.8880000000001</v>
      </c>
      <c r="H26" s="21">
        <v>1307</v>
      </c>
      <c r="I26" s="22">
        <f>F26+G26-H26</f>
        <v>99.776000000000295</v>
      </c>
      <c r="J26" s="23">
        <f>0.26*$E$5</f>
        <v>1356.8880000000001</v>
      </c>
      <c r="K26" s="21">
        <v>1307</v>
      </c>
      <c r="L26" s="22">
        <f>I26+J26-K26</f>
        <v>149.66400000000044</v>
      </c>
      <c r="M26" s="23"/>
      <c r="N26" s="23">
        <f>0.26*$E$5</f>
        <v>1356.8880000000001</v>
      </c>
      <c r="O26" s="21">
        <v>1307</v>
      </c>
      <c r="P26" s="22">
        <f t="shared" si="4"/>
        <v>199.55200000000059</v>
      </c>
      <c r="Q26" s="23">
        <f>0.26*$E$5</f>
        <v>1356.8880000000001</v>
      </c>
      <c r="R26" s="21">
        <v>1307</v>
      </c>
      <c r="S26" s="22">
        <f>P26+Q26-R26</f>
        <v>249.44000000000074</v>
      </c>
      <c r="T26" s="23">
        <f>0.26*$E$5</f>
        <v>1356.8880000000001</v>
      </c>
      <c r="U26" s="21">
        <v>1307</v>
      </c>
      <c r="V26" s="22">
        <f>S26+T26-U26</f>
        <v>299.32800000000088</v>
      </c>
      <c r="W26" s="23">
        <f>0.26*$E$5</f>
        <v>1356.8880000000001</v>
      </c>
      <c r="X26" s="21">
        <v>1307</v>
      </c>
      <c r="Y26" s="22">
        <f>V26+W26-X26</f>
        <v>349.21600000000103</v>
      </c>
      <c r="Z26" s="23">
        <f>0.26*$E$5</f>
        <v>1356.8880000000001</v>
      </c>
      <c r="AA26" s="21">
        <v>1307</v>
      </c>
      <c r="AB26" s="22">
        <f>Y26+Z26-AA26</f>
        <v>399.10400000000118</v>
      </c>
      <c r="AC26" s="23">
        <f>0.26*$E$5</f>
        <v>1356.8880000000001</v>
      </c>
      <c r="AD26" s="21">
        <v>1307</v>
      </c>
      <c r="AE26" s="22">
        <f>AB26+AC26-AD26</f>
        <v>448.99200000000133</v>
      </c>
      <c r="AF26" s="23">
        <f>0.26*$E$5</f>
        <v>1356.8880000000001</v>
      </c>
      <c r="AG26" s="21">
        <v>1307</v>
      </c>
      <c r="AH26" s="22">
        <f>AE26+AF26-AG26</f>
        <v>498.88000000000147</v>
      </c>
      <c r="AI26" s="23">
        <f>0.26*$E$5</f>
        <v>1356.8880000000001</v>
      </c>
      <c r="AJ26" s="21">
        <v>1307</v>
      </c>
      <c r="AK26" s="22">
        <f>AH26+AI26-AJ26</f>
        <v>548.76800000000162</v>
      </c>
      <c r="AL26" s="23">
        <f>0.26*$E$5</f>
        <v>1356.8880000000001</v>
      </c>
      <c r="AM26" s="21">
        <v>1307</v>
      </c>
      <c r="AN26" s="22">
        <f>AK26+AL26-AM26</f>
        <v>598.65600000000177</v>
      </c>
      <c r="AO26" s="5">
        <f t="shared" ref="AO26:AO35" si="47">C26</f>
        <v>0</v>
      </c>
      <c r="AP26" s="5">
        <f t="shared" ref="AP26:AP35" si="48">SUMIF($C$10:$AN$10,"ДОХОД",$C26:$AN26)</f>
        <v>16282.656000000004</v>
      </c>
      <c r="AQ26" s="5">
        <f t="shared" ref="AQ26:AQ35" si="49">SUMIF($C$10:$AN$10,"РАСХОД",$C26:$AN26)</f>
        <v>15684</v>
      </c>
      <c r="AR26" s="5">
        <f t="shared" ref="AR26:AR35" si="50">AO26+AP26-AQ26</f>
        <v>598.6560000000045</v>
      </c>
    </row>
    <row r="27" spans="1:44" ht="15.75" thickBot="1" x14ac:dyDescent="0.3">
      <c r="A27" s="7" t="s">
        <v>51</v>
      </c>
      <c r="B27" s="8"/>
      <c r="C27" s="5">
        <f>'[1]выписка 2018'!R27</f>
        <v>0</v>
      </c>
      <c r="D27" s="23">
        <v>1307</v>
      </c>
      <c r="E27" s="21">
        <v>1307</v>
      </c>
      <c r="F27" s="22">
        <f t="shared" ref="F27:F35" si="51">C27+D27-E27</f>
        <v>0</v>
      </c>
      <c r="G27" s="23"/>
      <c r="H27" s="21">
        <v>1307</v>
      </c>
      <c r="I27" s="22">
        <f t="shared" ref="I27:I35" si="52">F27+G27-H27</f>
        <v>-1307</v>
      </c>
      <c r="J27" s="23"/>
      <c r="K27" s="21">
        <v>1307</v>
      </c>
      <c r="L27" s="22">
        <f t="shared" ref="L27:L35" si="53">I27+J27-K27</f>
        <v>-2614</v>
      </c>
      <c r="M27" s="23"/>
      <c r="N27" s="23">
        <v>1307</v>
      </c>
      <c r="O27" s="21">
        <v>1307</v>
      </c>
      <c r="P27" s="22">
        <f t="shared" si="4"/>
        <v>-2614</v>
      </c>
      <c r="Q27" s="23">
        <v>1307</v>
      </c>
      <c r="R27" s="21">
        <v>1307</v>
      </c>
      <c r="S27" s="22">
        <f t="shared" ref="S27:S35" si="54">P27+Q27-R27</f>
        <v>-2614</v>
      </c>
      <c r="T27" s="23">
        <v>1307</v>
      </c>
      <c r="U27" s="21">
        <v>1307</v>
      </c>
      <c r="V27" s="22">
        <f t="shared" ref="V27:V35" si="55">S27+T27-U27</f>
        <v>-2614</v>
      </c>
      <c r="W27" s="23">
        <f>1307+759</f>
        <v>2066</v>
      </c>
      <c r="X27" s="21">
        <f>1307+759</f>
        <v>2066</v>
      </c>
      <c r="Y27" s="22">
        <f t="shared" ref="Y27:Y35" si="56">V27+W27-X27</f>
        <v>-2614</v>
      </c>
      <c r="Z27" s="23">
        <v>1307</v>
      </c>
      <c r="AA27" s="21">
        <v>1307</v>
      </c>
      <c r="AB27" s="22">
        <f t="shared" ref="AB27:AB35" si="57">Y27+Z27-AA27</f>
        <v>-2614</v>
      </c>
      <c r="AC27" s="23">
        <v>1307</v>
      </c>
      <c r="AD27" s="21">
        <v>1307</v>
      </c>
      <c r="AE27" s="22">
        <f t="shared" ref="AE27:AE35" si="58">AB27+AC27-AD27</f>
        <v>-2614</v>
      </c>
      <c r="AF27" s="23">
        <v>1307</v>
      </c>
      <c r="AG27" s="21">
        <v>1307</v>
      </c>
      <c r="AH27" s="22">
        <f t="shared" ref="AH27:AH35" si="59">AE27+AF27-AG27</f>
        <v>-2614</v>
      </c>
      <c r="AI27" s="23">
        <v>1307</v>
      </c>
      <c r="AJ27" s="21">
        <v>1307</v>
      </c>
      <c r="AK27" s="22">
        <f t="shared" ref="AK27:AK35" si="60">AH27+AI27-AJ27</f>
        <v>-2614</v>
      </c>
      <c r="AL27" s="23">
        <v>1307</v>
      </c>
      <c r="AM27" s="21">
        <v>1307</v>
      </c>
      <c r="AN27" s="22">
        <f t="shared" ref="AN27:AN35" si="61">AK27+AL27-AM27</f>
        <v>-2614</v>
      </c>
      <c r="AO27" s="5">
        <f t="shared" si="47"/>
        <v>0</v>
      </c>
      <c r="AP27" s="5">
        <f t="shared" si="48"/>
        <v>13829</v>
      </c>
      <c r="AQ27" s="5">
        <f t="shared" si="49"/>
        <v>16443</v>
      </c>
      <c r="AR27" s="5">
        <f t="shared" si="50"/>
        <v>-2614</v>
      </c>
    </row>
    <row r="28" spans="1:44" ht="15.75" thickBot="1" x14ac:dyDescent="0.3">
      <c r="A28" s="7" t="s">
        <v>44</v>
      </c>
      <c r="B28" s="8"/>
      <c r="C28" s="5">
        <f>'[1]выписка 2018'!R28</f>
        <v>0</v>
      </c>
      <c r="D28" s="23"/>
      <c r="E28" s="21"/>
      <c r="F28" s="22">
        <f t="shared" si="51"/>
        <v>0</v>
      </c>
      <c r="G28" s="23"/>
      <c r="H28" s="21">
        <f>E29</f>
        <v>0</v>
      </c>
      <c r="I28" s="22">
        <f t="shared" si="52"/>
        <v>0</v>
      </c>
      <c r="J28" s="23">
        <f>$E$5*6+36*400</f>
        <v>45712.800000000003</v>
      </c>
      <c r="K28" s="21">
        <f>H29</f>
        <v>0</v>
      </c>
      <c r="L28" s="22">
        <f t="shared" si="53"/>
        <v>45712.800000000003</v>
      </c>
      <c r="M28" s="23"/>
      <c r="N28" s="23">
        <f>$E$5*6+36*400</f>
        <v>45712.800000000003</v>
      </c>
      <c r="O28" s="21">
        <f>K29</f>
        <v>88711</v>
      </c>
      <c r="P28" s="22">
        <f t="shared" si="4"/>
        <v>2714.6000000000058</v>
      </c>
      <c r="Q28" s="23">
        <f>$E$5*6+36*400</f>
        <v>45712.800000000003</v>
      </c>
      <c r="R28" s="21">
        <f>O29</f>
        <v>46615</v>
      </c>
      <c r="S28" s="22">
        <f t="shared" si="54"/>
        <v>1812.4000000000087</v>
      </c>
      <c r="T28" s="23">
        <f>$E$5*6+36*400</f>
        <v>45712.800000000003</v>
      </c>
      <c r="U28" s="21">
        <f>R29</f>
        <v>46615</v>
      </c>
      <c r="V28" s="22">
        <f t="shared" si="55"/>
        <v>910.20000000001164</v>
      </c>
      <c r="W28" s="23">
        <f>$E$5*6+36*400</f>
        <v>45712.800000000003</v>
      </c>
      <c r="X28" s="21">
        <f>U29</f>
        <v>46615</v>
      </c>
      <c r="Y28" s="22">
        <f t="shared" si="56"/>
        <v>8.0000000000145519</v>
      </c>
      <c r="Z28" s="23">
        <f>$E$5*6+36*400</f>
        <v>45712.800000000003</v>
      </c>
      <c r="AA28" s="21">
        <f>X29</f>
        <v>46615</v>
      </c>
      <c r="AB28" s="22">
        <f t="shared" si="57"/>
        <v>-894.19999999998254</v>
      </c>
      <c r="AC28" s="23">
        <f>$E$5*6+36*400</f>
        <v>45712.800000000003</v>
      </c>
      <c r="AD28" s="21">
        <f>AA29</f>
        <v>46615</v>
      </c>
      <c r="AE28" s="22">
        <f t="shared" si="58"/>
        <v>-1796.3999999999796</v>
      </c>
      <c r="AF28" s="23">
        <f>$E$5*6+36*400</f>
        <v>45712.800000000003</v>
      </c>
      <c r="AG28" s="21">
        <f>AD29</f>
        <v>46615</v>
      </c>
      <c r="AH28" s="22">
        <f t="shared" si="59"/>
        <v>-2698.5999999999767</v>
      </c>
      <c r="AI28" s="23">
        <f>$E$5*6+36*400</f>
        <v>45712.800000000003</v>
      </c>
      <c r="AJ28" s="21">
        <f>AG29</f>
        <v>46615</v>
      </c>
      <c r="AK28" s="22">
        <f t="shared" si="60"/>
        <v>-3600.7999999999738</v>
      </c>
      <c r="AL28" s="23">
        <f>$E$5*6+36*400</f>
        <v>45712.800000000003</v>
      </c>
      <c r="AM28" s="21">
        <f>AJ29</f>
        <v>46615</v>
      </c>
      <c r="AN28" s="22">
        <f t="shared" si="61"/>
        <v>-4502.9999999999709</v>
      </c>
      <c r="AO28" s="5">
        <f t="shared" si="47"/>
        <v>0</v>
      </c>
      <c r="AP28" s="5">
        <f t="shared" si="48"/>
        <v>457127.99999999994</v>
      </c>
      <c r="AQ28" s="5">
        <f t="shared" si="49"/>
        <v>461631</v>
      </c>
      <c r="AR28" s="5">
        <f t="shared" si="50"/>
        <v>-4503.0000000000582</v>
      </c>
    </row>
    <row r="29" spans="1:44" ht="15.75" thickBot="1" x14ac:dyDescent="0.3">
      <c r="A29" s="7" t="s">
        <v>52</v>
      </c>
      <c r="B29" s="8"/>
      <c r="C29" s="5">
        <f>'[1]выписка 2018'!R29</f>
        <v>0</v>
      </c>
      <c r="D29" s="23"/>
      <c r="E29" s="21"/>
      <c r="F29" s="22">
        <f t="shared" si="51"/>
        <v>0</v>
      </c>
      <c r="G29" s="23"/>
      <c r="H29" s="21"/>
      <c r="I29" s="22">
        <f t="shared" si="52"/>
        <v>0</v>
      </c>
      <c r="J29" s="23"/>
      <c r="K29" s="21">
        <v>88711</v>
      </c>
      <c r="L29" s="22">
        <f t="shared" si="53"/>
        <v>-88711</v>
      </c>
      <c r="M29" s="23"/>
      <c r="N29" s="23">
        <v>88711</v>
      </c>
      <c r="O29" s="21">
        <v>46615</v>
      </c>
      <c r="P29" s="22">
        <f t="shared" si="4"/>
        <v>-46615</v>
      </c>
      <c r="Q29" s="23"/>
      <c r="R29" s="21">
        <f>46615</f>
        <v>46615</v>
      </c>
      <c r="S29" s="22">
        <f t="shared" si="54"/>
        <v>-93230</v>
      </c>
      <c r="T29" s="23">
        <v>46615</v>
      </c>
      <c r="U29" s="21">
        <f>46615</f>
        <v>46615</v>
      </c>
      <c r="V29" s="22">
        <f t="shared" si="55"/>
        <v>-93230</v>
      </c>
      <c r="W29" s="23">
        <f>46615</f>
        <v>46615</v>
      </c>
      <c r="X29" s="21">
        <f>46615</f>
        <v>46615</v>
      </c>
      <c r="Y29" s="22">
        <f t="shared" si="56"/>
        <v>-93230</v>
      </c>
      <c r="Z29" s="23">
        <v>46615</v>
      </c>
      <c r="AA29" s="21">
        <f>46615</f>
        <v>46615</v>
      </c>
      <c r="AB29" s="22">
        <f t="shared" si="57"/>
        <v>-93230</v>
      </c>
      <c r="AC29" s="23">
        <f>46615</f>
        <v>46615</v>
      </c>
      <c r="AD29" s="21">
        <f>46615</f>
        <v>46615</v>
      </c>
      <c r="AE29" s="22">
        <f t="shared" si="58"/>
        <v>-93230</v>
      </c>
      <c r="AF29" s="23">
        <f>46615</f>
        <v>46615</v>
      </c>
      <c r="AG29" s="21">
        <f>46615</f>
        <v>46615</v>
      </c>
      <c r="AH29" s="22">
        <f t="shared" si="59"/>
        <v>-93230</v>
      </c>
      <c r="AI29" s="23">
        <v>41953.71</v>
      </c>
      <c r="AJ29" s="21">
        <f>46615</f>
        <v>46615</v>
      </c>
      <c r="AK29" s="22">
        <f t="shared" si="60"/>
        <v>-97891.290000000008</v>
      </c>
      <c r="AL29" s="23">
        <v>46615</v>
      </c>
      <c r="AM29" s="21">
        <f>46615</f>
        <v>46615</v>
      </c>
      <c r="AN29" s="22">
        <f t="shared" si="61"/>
        <v>-97891.290000000008</v>
      </c>
      <c r="AO29" s="5">
        <f t="shared" si="47"/>
        <v>0</v>
      </c>
      <c r="AP29" s="5">
        <f t="shared" si="48"/>
        <v>410354.71</v>
      </c>
      <c r="AQ29" s="5">
        <f t="shared" si="49"/>
        <v>508246</v>
      </c>
      <c r="AR29" s="5">
        <f t="shared" si="50"/>
        <v>-97891.289999999979</v>
      </c>
    </row>
    <row r="30" spans="1:44" ht="15.75" thickBot="1" x14ac:dyDescent="0.3">
      <c r="A30" s="7" t="s">
        <v>45</v>
      </c>
      <c r="B30" s="8"/>
      <c r="C30" s="5">
        <f>'[1]выписка 2018'!R30</f>
        <v>0</v>
      </c>
      <c r="D30" s="23">
        <f>$E$5*7</f>
        <v>36531.599999999999</v>
      </c>
      <c r="E30" s="21"/>
      <c r="F30" s="22">
        <f t="shared" si="51"/>
        <v>36531.599999999999</v>
      </c>
      <c r="G30" s="23">
        <f>$E$5*7</f>
        <v>36531.599999999999</v>
      </c>
      <c r="H30" s="21">
        <f>E31</f>
        <v>0</v>
      </c>
      <c r="I30" s="22">
        <f t="shared" si="52"/>
        <v>73063.199999999997</v>
      </c>
      <c r="J30" s="23">
        <f>$E$5*7</f>
        <v>36531.599999999999</v>
      </c>
      <c r="K30" s="21">
        <f>H31</f>
        <v>0</v>
      </c>
      <c r="L30" s="22">
        <f t="shared" si="53"/>
        <v>109594.79999999999</v>
      </c>
      <c r="M30" s="23"/>
      <c r="N30" s="23"/>
      <c r="O30" s="21">
        <f>K31</f>
        <v>0</v>
      </c>
      <c r="P30" s="22">
        <f t="shared" si="4"/>
        <v>109594.79999999999</v>
      </c>
      <c r="Q30" s="23"/>
      <c r="R30" s="21">
        <f>O31</f>
        <v>147150</v>
      </c>
      <c r="S30" s="22">
        <f t="shared" si="54"/>
        <v>-37555.200000000012</v>
      </c>
      <c r="T30" s="23">
        <f>7*$E$5</f>
        <v>36531.599999999999</v>
      </c>
      <c r="U30" s="21">
        <f>R31</f>
        <v>0</v>
      </c>
      <c r="V30" s="22">
        <f t="shared" si="55"/>
        <v>-1023.6000000000131</v>
      </c>
      <c r="W30" s="23"/>
      <c r="X30" s="21">
        <f>U31</f>
        <v>2500</v>
      </c>
      <c r="Y30" s="22">
        <f t="shared" si="56"/>
        <v>-3523.6000000000131</v>
      </c>
      <c r="Z30" s="23"/>
      <c r="AA30" s="21">
        <f>X31</f>
        <v>5791.2</v>
      </c>
      <c r="AB30" s="22">
        <f t="shared" si="57"/>
        <v>-9314.8000000000138</v>
      </c>
      <c r="AC30" s="23"/>
      <c r="AD30" s="21">
        <f>AA31</f>
        <v>0</v>
      </c>
      <c r="AE30" s="22">
        <f t="shared" si="58"/>
        <v>-9314.8000000000138</v>
      </c>
      <c r="AF30" s="23"/>
      <c r="AG30" s="21">
        <f>AD31</f>
        <v>0</v>
      </c>
      <c r="AH30" s="22">
        <f t="shared" si="59"/>
        <v>-9314.8000000000138</v>
      </c>
      <c r="AI30" s="23"/>
      <c r="AJ30" s="21">
        <f>AG31</f>
        <v>0</v>
      </c>
      <c r="AK30" s="22">
        <f t="shared" si="60"/>
        <v>-9314.8000000000138</v>
      </c>
      <c r="AL30" s="23"/>
      <c r="AM30" s="21">
        <f>AJ31</f>
        <v>0</v>
      </c>
      <c r="AN30" s="22">
        <f t="shared" si="61"/>
        <v>-9314.8000000000138</v>
      </c>
      <c r="AO30" s="5">
        <f t="shared" si="47"/>
        <v>0</v>
      </c>
      <c r="AP30" s="5">
        <f t="shared" si="48"/>
        <v>146126.39999999999</v>
      </c>
      <c r="AQ30" s="5">
        <f t="shared" si="49"/>
        <v>155441.20000000001</v>
      </c>
      <c r="AR30" s="5">
        <f t="shared" si="50"/>
        <v>-9314.8000000000175</v>
      </c>
    </row>
    <row r="31" spans="1:44" ht="15.75" thickBot="1" x14ac:dyDescent="0.3">
      <c r="A31" s="7" t="s">
        <v>53</v>
      </c>
      <c r="B31" s="8"/>
      <c r="C31" s="5">
        <f>'[1]выписка 2018'!R31</f>
        <v>0</v>
      </c>
      <c r="D31" s="23"/>
      <c r="E31" s="21"/>
      <c r="F31" s="22">
        <f t="shared" si="51"/>
        <v>0</v>
      </c>
      <c r="G31" s="23"/>
      <c r="H31" s="21"/>
      <c r="I31" s="22">
        <f t="shared" si="52"/>
        <v>0</v>
      </c>
      <c r="J31" s="23"/>
      <c r="K31" s="21"/>
      <c r="L31" s="22">
        <f t="shared" si="53"/>
        <v>0</v>
      </c>
      <c r="M31" s="23"/>
      <c r="N31" s="23">
        <v>64075</v>
      </c>
      <c r="O31" s="21">
        <f>38000+109150</f>
        <v>147150</v>
      </c>
      <c r="P31" s="22">
        <f t="shared" si="4"/>
        <v>-83075</v>
      </c>
      <c r="Q31" s="23">
        <v>83075</v>
      </c>
      <c r="R31" s="21"/>
      <c r="S31" s="22">
        <f t="shared" si="54"/>
        <v>0</v>
      </c>
      <c r="T31" s="23">
        <v>2500</v>
      </c>
      <c r="U31" s="21">
        <v>2500</v>
      </c>
      <c r="V31" s="22">
        <f t="shared" si="55"/>
        <v>0</v>
      </c>
      <c r="W31" s="23">
        <v>5791.2</v>
      </c>
      <c r="X31" s="21">
        <v>5791.2</v>
      </c>
      <c r="Y31" s="22">
        <f t="shared" si="56"/>
        <v>0</v>
      </c>
      <c r="Z31" s="23"/>
      <c r="AA31" s="21"/>
      <c r="AB31" s="22">
        <f t="shared" si="57"/>
        <v>0</v>
      </c>
      <c r="AC31" s="23"/>
      <c r="AD31" s="21"/>
      <c r="AE31" s="22">
        <f t="shared" si="58"/>
        <v>0</v>
      </c>
      <c r="AF31" s="23"/>
      <c r="AG31" s="21"/>
      <c r="AH31" s="22">
        <f t="shared" si="59"/>
        <v>0</v>
      </c>
      <c r="AI31" s="23"/>
      <c r="AJ31" s="21"/>
      <c r="AK31" s="22">
        <f t="shared" si="60"/>
        <v>0</v>
      </c>
      <c r="AL31" s="23"/>
      <c r="AM31" s="21"/>
      <c r="AN31" s="22">
        <f t="shared" si="61"/>
        <v>0</v>
      </c>
      <c r="AO31" s="5">
        <f t="shared" si="47"/>
        <v>0</v>
      </c>
      <c r="AP31" s="5">
        <f t="shared" si="48"/>
        <v>155441.20000000001</v>
      </c>
      <c r="AQ31" s="5">
        <f t="shared" si="49"/>
        <v>155441.20000000001</v>
      </c>
      <c r="AR31" s="5">
        <f t="shared" si="50"/>
        <v>0</v>
      </c>
    </row>
    <row r="32" spans="1:44" ht="15.75" thickBot="1" x14ac:dyDescent="0.3">
      <c r="A32" s="7" t="s">
        <v>46</v>
      </c>
      <c r="B32" s="8"/>
      <c r="C32" s="5">
        <f>'[1]выписка 2018'!R32</f>
        <v>-101757.6</v>
      </c>
      <c r="D32" s="23">
        <f>$E$5*6</f>
        <v>31312.800000000003</v>
      </c>
      <c r="E32" s="21">
        <f>30000</f>
        <v>30000</v>
      </c>
      <c r="F32" s="22">
        <f t="shared" si="51"/>
        <v>-100444.8</v>
      </c>
      <c r="G32" s="23">
        <f>$E$5*6</f>
        <v>31312.800000000003</v>
      </c>
      <c r="H32" s="21">
        <f>30000</f>
        <v>30000</v>
      </c>
      <c r="I32" s="22">
        <f t="shared" si="52"/>
        <v>-99132</v>
      </c>
      <c r="J32" s="23">
        <f>$E$5*6</f>
        <v>31312.800000000003</v>
      </c>
      <c r="K32" s="21">
        <f>30000</f>
        <v>30000</v>
      </c>
      <c r="L32" s="22">
        <f t="shared" si="53"/>
        <v>-97819.199999999997</v>
      </c>
      <c r="M32" s="23"/>
      <c r="N32" s="23">
        <f>$E$5*6</f>
        <v>31312.800000000003</v>
      </c>
      <c r="O32" s="21">
        <f>30000</f>
        <v>30000</v>
      </c>
      <c r="P32" s="22">
        <f>L32+N32-O32</f>
        <v>-96506.4</v>
      </c>
      <c r="Q32" s="23">
        <f>$E$5*6</f>
        <v>31312.800000000003</v>
      </c>
      <c r="R32" s="21">
        <f>30000</f>
        <v>30000</v>
      </c>
      <c r="S32" s="22">
        <f t="shared" si="54"/>
        <v>-95193.599999999991</v>
      </c>
      <c r="T32" s="23">
        <f>$E$5*6</f>
        <v>31312.800000000003</v>
      </c>
      <c r="U32" s="21">
        <f>30000</f>
        <v>30000</v>
      </c>
      <c r="V32" s="22">
        <f t="shared" si="55"/>
        <v>-93880.799999999988</v>
      </c>
      <c r="W32" s="23">
        <f>$E$5*6</f>
        <v>31312.800000000003</v>
      </c>
      <c r="X32" s="21">
        <f>30000</f>
        <v>30000</v>
      </c>
      <c r="Y32" s="22">
        <f t="shared" si="56"/>
        <v>-92567.999999999985</v>
      </c>
      <c r="Z32" s="23">
        <f>$E$5*6</f>
        <v>31312.800000000003</v>
      </c>
      <c r="AA32" s="21">
        <f>30000</f>
        <v>30000</v>
      </c>
      <c r="AB32" s="22">
        <f t="shared" si="57"/>
        <v>-91255.199999999983</v>
      </c>
      <c r="AC32" s="23">
        <f>$E$5*6</f>
        <v>31312.800000000003</v>
      </c>
      <c r="AD32" s="21">
        <f>30000</f>
        <v>30000</v>
      </c>
      <c r="AE32" s="22">
        <f t="shared" si="58"/>
        <v>-89942.39999999998</v>
      </c>
      <c r="AF32" s="23">
        <f>$E$5*1.93</f>
        <v>10072.284</v>
      </c>
      <c r="AG32" s="21">
        <f>AD33</f>
        <v>22152.639999999999</v>
      </c>
      <c r="AH32" s="22">
        <f t="shared" si="59"/>
        <v>-102022.75599999998</v>
      </c>
      <c r="AI32" s="23">
        <f>$E$5*1.93</f>
        <v>10072.284</v>
      </c>
      <c r="AJ32" s="21">
        <f>AG33</f>
        <v>10061.040000000001</v>
      </c>
      <c r="AK32" s="22">
        <f t="shared" si="60"/>
        <v>-102011.51199999999</v>
      </c>
      <c r="AL32" s="23">
        <f>$E$5*1.85</f>
        <v>9654.7800000000007</v>
      </c>
      <c r="AM32" s="21">
        <f>AJ33</f>
        <v>9658.48</v>
      </c>
      <c r="AN32" s="22">
        <f t="shared" si="61"/>
        <v>-102015.21199999998</v>
      </c>
      <c r="AO32" s="5">
        <f t="shared" si="47"/>
        <v>-101757.6</v>
      </c>
      <c r="AP32" s="5">
        <f t="shared" si="48"/>
        <v>311614.54799999995</v>
      </c>
      <c r="AQ32" s="5">
        <f t="shared" si="49"/>
        <v>311872.15999999997</v>
      </c>
      <c r="AR32" s="5">
        <f t="shared" si="50"/>
        <v>-102015.21200000003</v>
      </c>
    </row>
    <row r="33" spans="1:44" ht="15.75" thickBot="1" x14ac:dyDescent="0.3">
      <c r="A33" s="7" t="s">
        <v>36</v>
      </c>
      <c r="B33" s="8"/>
      <c r="C33" s="5">
        <f>'[1]выписка 2018'!R33</f>
        <v>-101757.6</v>
      </c>
      <c r="D33" s="23">
        <v>24371.8</v>
      </c>
      <c r="E33" s="21">
        <v>31053.599999999999</v>
      </c>
      <c r="F33" s="22">
        <f t="shared" si="51"/>
        <v>-108439.4</v>
      </c>
      <c r="G33" s="23"/>
      <c r="H33" s="21">
        <v>29306.55</v>
      </c>
      <c r="I33" s="22">
        <f t="shared" si="52"/>
        <v>-137745.94999999998</v>
      </c>
      <c r="J33" s="23">
        <f>K32</f>
        <v>30000</v>
      </c>
      <c r="K33" s="21">
        <v>5155.6499999999996</v>
      </c>
      <c r="L33" s="22">
        <f t="shared" si="53"/>
        <v>-112901.59999999998</v>
      </c>
      <c r="M33" s="23"/>
      <c r="N33" s="23">
        <v>30000</v>
      </c>
      <c r="O33" s="21">
        <v>4232.25</v>
      </c>
      <c r="P33" s="22">
        <f t="shared" si="4"/>
        <v>-87133.849999999977</v>
      </c>
      <c r="Q33" s="23"/>
      <c r="R33" s="21">
        <v>21414.9</v>
      </c>
      <c r="S33" s="22">
        <f t="shared" si="54"/>
        <v>-108548.74999999997</v>
      </c>
      <c r="T33" s="23">
        <f>U32</f>
        <v>30000</v>
      </c>
      <c r="U33" s="21">
        <v>4078.35</v>
      </c>
      <c r="V33" s="22">
        <f t="shared" si="55"/>
        <v>-82627.099999999977</v>
      </c>
      <c r="W33" s="23">
        <v>30000</v>
      </c>
      <c r="X33" s="21">
        <v>16670.72</v>
      </c>
      <c r="Y33" s="22">
        <f t="shared" si="56"/>
        <v>-69297.819999999978</v>
      </c>
      <c r="Z33" s="23">
        <v>30000</v>
      </c>
      <c r="AA33" s="21">
        <v>21021.919999999998</v>
      </c>
      <c r="AB33" s="22">
        <f t="shared" si="57"/>
        <v>-60319.739999999976</v>
      </c>
      <c r="AC33" s="23">
        <v>30000</v>
      </c>
      <c r="AD33" s="21">
        <v>22152.639999999999</v>
      </c>
      <c r="AE33" s="22">
        <f t="shared" si="58"/>
        <v>-52472.379999999976</v>
      </c>
      <c r="AF33" s="23">
        <v>56121.87</v>
      </c>
      <c r="AG33" s="21">
        <v>10061.040000000001</v>
      </c>
      <c r="AH33" s="22">
        <f t="shared" si="59"/>
        <v>-6411.5499999999738</v>
      </c>
      <c r="AI33" s="23">
        <v>10061.040000000001</v>
      </c>
      <c r="AJ33" s="21">
        <v>9658.48</v>
      </c>
      <c r="AK33" s="22">
        <f t="shared" si="60"/>
        <v>-6008.9899999999725</v>
      </c>
      <c r="AL33" s="23">
        <v>9658.48</v>
      </c>
      <c r="AM33" s="21">
        <v>10661.92</v>
      </c>
      <c r="AN33" s="22">
        <f t="shared" si="61"/>
        <v>-7012.429999999973</v>
      </c>
      <c r="AO33" s="5">
        <f t="shared" si="47"/>
        <v>-101757.6</v>
      </c>
      <c r="AP33" s="5">
        <f t="shared" si="48"/>
        <v>280213.18999999994</v>
      </c>
      <c r="AQ33" s="5">
        <f t="shared" si="49"/>
        <v>185468.02000000005</v>
      </c>
      <c r="AR33" s="5">
        <f t="shared" si="50"/>
        <v>-7012.4300000001094</v>
      </c>
    </row>
    <row r="34" spans="1:44" ht="15.75" thickBot="1" x14ac:dyDescent="0.3">
      <c r="A34" s="7" t="s">
        <v>47</v>
      </c>
      <c r="B34" s="8"/>
      <c r="C34" s="5">
        <f>'[1]выписка 2018'!R34</f>
        <v>0</v>
      </c>
      <c r="D34" s="23"/>
      <c r="E34" s="21"/>
      <c r="F34" s="22">
        <f t="shared" si="51"/>
        <v>0</v>
      </c>
      <c r="G34" s="23"/>
      <c r="H34" s="21">
        <f>E35</f>
        <v>0</v>
      </c>
      <c r="I34" s="22">
        <f t="shared" si="52"/>
        <v>0</v>
      </c>
      <c r="J34" s="23"/>
      <c r="K34" s="21">
        <f>H35</f>
        <v>0</v>
      </c>
      <c r="L34" s="22">
        <f t="shared" si="53"/>
        <v>0</v>
      </c>
      <c r="M34" s="23"/>
      <c r="N34" s="23">
        <f>$E$5*1/8</f>
        <v>652.35</v>
      </c>
      <c r="O34" s="21">
        <f>K35</f>
        <v>5326.05</v>
      </c>
      <c r="P34" s="22">
        <f t="shared" si="4"/>
        <v>-4673.7</v>
      </c>
      <c r="Q34" s="23">
        <f>$E$5*2.69</f>
        <v>14038.572</v>
      </c>
      <c r="R34" s="21">
        <f>O35</f>
        <v>14059.84</v>
      </c>
      <c r="S34" s="22">
        <f t="shared" si="54"/>
        <v>-4694.9680000000008</v>
      </c>
      <c r="T34" s="23">
        <f>$E$5*0.16</f>
        <v>835.00800000000004</v>
      </c>
      <c r="U34" s="21">
        <f>R35</f>
        <v>827.36</v>
      </c>
      <c r="V34" s="22">
        <f t="shared" si="55"/>
        <v>-4687.3200000000006</v>
      </c>
      <c r="W34" s="23">
        <f>$E$5*0.55</f>
        <v>2870.34</v>
      </c>
      <c r="X34" s="21">
        <f>U35</f>
        <v>2891.4</v>
      </c>
      <c r="Y34" s="22">
        <f t="shared" si="56"/>
        <v>-4708.380000000001</v>
      </c>
      <c r="Z34" s="23">
        <f>$E$5*0.17</f>
        <v>887.19600000000014</v>
      </c>
      <c r="AA34" s="21">
        <f>X35</f>
        <v>883.49</v>
      </c>
      <c r="AB34" s="22">
        <f t="shared" si="57"/>
        <v>-4704.6740000000009</v>
      </c>
      <c r="AC34" s="23">
        <f>$E$5*0.17</f>
        <v>887.19600000000014</v>
      </c>
      <c r="AD34" s="21">
        <f>AA35</f>
        <v>883.49</v>
      </c>
      <c r="AE34" s="22">
        <f t="shared" si="58"/>
        <v>-4700.9680000000008</v>
      </c>
      <c r="AF34" s="23">
        <f>$E$5*0.17</f>
        <v>887.19600000000014</v>
      </c>
      <c r="AG34" s="21">
        <f>AD35</f>
        <v>883.49</v>
      </c>
      <c r="AH34" s="22">
        <f t="shared" si="59"/>
        <v>-4697.2620000000006</v>
      </c>
      <c r="AI34" s="23">
        <f>$E$5*0.17</f>
        <v>887.19600000000014</v>
      </c>
      <c r="AJ34" s="21">
        <f>AG35</f>
        <v>883.49</v>
      </c>
      <c r="AK34" s="22">
        <f t="shared" si="60"/>
        <v>-4693.5560000000005</v>
      </c>
      <c r="AL34" s="23">
        <f>$E$5*0.17</f>
        <v>887.19600000000014</v>
      </c>
      <c r="AM34" s="21">
        <f>AJ35</f>
        <v>4152.8</v>
      </c>
      <c r="AN34" s="22">
        <f t="shared" si="61"/>
        <v>-7959.1600000000008</v>
      </c>
      <c r="AO34" s="5">
        <f t="shared" si="47"/>
        <v>0</v>
      </c>
      <c r="AP34" s="5">
        <f t="shared" si="48"/>
        <v>22832.25</v>
      </c>
      <c r="AQ34" s="5">
        <f t="shared" si="49"/>
        <v>30791.410000000007</v>
      </c>
      <c r="AR34" s="5">
        <f t="shared" si="50"/>
        <v>-7959.1600000000071</v>
      </c>
    </row>
    <row r="35" spans="1:44" ht="15.75" thickBot="1" x14ac:dyDescent="0.3">
      <c r="A35" s="7" t="s">
        <v>54</v>
      </c>
      <c r="B35" s="8"/>
      <c r="C35" s="34">
        <f>'[1]выписка 2018'!R35</f>
        <v>0</v>
      </c>
      <c r="D35" s="35">
        <f>D34</f>
        <v>0</v>
      </c>
      <c r="E35" s="36"/>
      <c r="F35" s="37">
        <f t="shared" si="51"/>
        <v>0</v>
      </c>
      <c r="G35" s="35"/>
      <c r="H35" s="36">
        <v>0</v>
      </c>
      <c r="I35" s="37">
        <f t="shared" si="52"/>
        <v>0</v>
      </c>
      <c r="J35" s="35"/>
      <c r="K35" s="36">
        <v>5326.05</v>
      </c>
      <c r="L35" s="37">
        <f t="shared" si="53"/>
        <v>-5326.05</v>
      </c>
      <c r="M35" s="35"/>
      <c r="N35" s="35"/>
      <c r="O35" s="36">
        <v>14059.84</v>
      </c>
      <c r="P35" s="37">
        <f t="shared" si="4"/>
        <v>-19385.89</v>
      </c>
      <c r="Q35" s="35">
        <v>19385.89</v>
      </c>
      <c r="R35" s="36">
        <v>827.36</v>
      </c>
      <c r="S35" s="37">
        <f t="shared" si="54"/>
        <v>-827.36</v>
      </c>
      <c r="T35" s="35">
        <v>827.36</v>
      </c>
      <c r="U35" s="36">
        <v>2891.4</v>
      </c>
      <c r="V35" s="37">
        <f t="shared" si="55"/>
        <v>-2891.4</v>
      </c>
      <c r="W35" s="35">
        <v>2891.4</v>
      </c>
      <c r="X35" s="36">
        <v>883.49</v>
      </c>
      <c r="Y35" s="37">
        <f t="shared" si="56"/>
        <v>-883.49</v>
      </c>
      <c r="Z35" s="35">
        <v>883.49</v>
      </c>
      <c r="AA35" s="36">
        <v>883.49</v>
      </c>
      <c r="AB35" s="37">
        <f t="shared" si="57"/>
        <v>-883.49</v>
      </c>
      <c r="AC35" s="35">
        <v>883.49</v>
      </c>
      <c r="AD35" s="36">
        <v>883.49</v>
      </c>
      <c r="AE35" s="37">
        <f t="shared" si="58"/>
        <v>-883.49</v>
      </c>
      <c r="AF35" s="35">
        <v>883.49</v>
      </c>
      <c r="AG35" s="36">
        <v>883.49</v>
      </c>
      <c r="AH35" s="37">
        <f t="shared" si="59"/>
        <v>-883.49</v>
      </c>
      <c r="AI35" s="35">
        <v>883.49</v>
      </c>
      <c r="AJ35" s="36">
        <v>4152.8</v>
      </c>
      <c r="AK35" s="37">
        <f t="shared" si="60"/>
        <v>-4152.8</v>
      </c>
      <c r="AL35" s="35">
        <v>883.49</v>
      </c>
      <c r="AM35" s="36">
        <v>883.49</v>
      </c>
      <c r="AN35" s="37">
        <f t="shared" si="61"/>
        <v>-4152.8</v>
      </c>
      <c r="AO35" s="5">
        <f t="shared" si="47"/>
        <v>0</v>
      </c>
      <c r="AP35" s="5">
        <f t="shared" si="48"/>
        <v>27522.100000000009</v>
      </c>
      <c r="AQ35" s="5">
        <f t="shared" si="49"/>
        <v>31674.900000000009</v>
      </c>
      <c r="AR35" s="5">
        <f t="shared" si="50"/>
        <v>-4152.7999999999993</v>
      </c>
    </row>
    <row r="36" spans="1:44" x14ac:dyDescent="0.25">
      <c r="A36" s="18" t="s">
        <v>21</v>
      </c>
      <c r="C36" s="18" t="s">
        <v>22</v>
      </c>
      <c r="D36" s="18"/>
      <c r="E36" s="18"/>
      <c r="F36" s="18" t="s">
        <v>23</v>
      </c>
      <c r="G36" s="18"/>
      <c r="H36" s="18"/>
      <c r="I36" s="18" t="s">
        <v>24</v>
      </c>
      <c r="J36" s="18"/>
      <c r="K36" s="18"/>
      <c r="L36" s="18" t="s">
        <v>25</v>
      </c>
      <c r="M36" s="18"/>
      <c r="N36" s="18"/>
      <c r="O36" s="18" t="s">
        <v>26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44" x14ac:dyDescent="0.25">
      <c r="A37" s="17"/>
    </row>
    <row r="38" spans="1:44" x14ac:dyDescent="0.25">
      <c r="A38" s="17"/>
    </row>
    <row r="39" spans="1:44" x14ac:dyDescent="0.25">
      <c r="A39" s="17"/>
    </row>
    <row r="40" spans="1:44" x14ac:dyDescent="0.25">
      <c r="A40" s="17"/>
    </row>
    <row r="41" spans="1:44" x14ac:dyDescent="0.25">
      <c r="A41" s="17"/>
    </row>
    <row r="42" spans="1:44" x14ac:dyDescent="0.25">
      <c r="A42" s="17"/>
    </row>
  </sheetData>
  <mergeCells count="11">
    <mergeCell ref="A4:D4"/>
    <mergeCell ref="A5:D5"/>
    <mergeCell ref="AL6:AN6"/>
    <mergeCell ref="AC6:AE6"/>
    <mergeCell ref="AF6:AH6"/>
    <mergeCell ref="AI6:AK6"/>
    <mergeCell ref="N6:P6"/>
    <mergeCell ref="Q6:S6"/>
    <mergeCell ref="T6:V6"/>
    <mergeCell ref="W6:Y6"/>
    <mergeCell ref="Z6:AB6"/>
  </mergeCells>
  <pageMargins left="0.39370078740157483" right="0.39370078740157483" top="0.39370078740157483" bottom="0.39370078740157483" header="0" footer="0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выписка 2019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Danton</dc:creator>
  <cp:lastModifiedBy>Danton</cp:lastModifiedBy>
  <cp:lastPrinted>2019-09-02T13:58:29Z</cp:lastPrinted>
  <dcterms:created xsi:type="dcterms:W3CDTF">2019-03-19T16:15:19Z</dcterms:created>
  <dcterms:modified xsi:type="dcterms:W3CDTF">2020-03-18T13:44:58Z</dcterms:modified>
</cp:coreProperties>
</file>